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35.xml" ContentType="application/vnd.openxmlformats-officedocument.spreadsheetml.worksheet+xml"/>
  <Override PartName="/xl/worksheets/sheet44.xml" ContentType="application/vnd.openxmlformats-officedocument.spreadsheetml.worksheet+xml"/>
  <Override PartName="/xl/worksheets/sheet53.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worksheets/sheet33.xml" ContentType="application/vnd.openxmlformats-officedocument.spreadsheetml.worksheet+xml"/>
  <Override PartName="/xl/worksheets/sheet42.xml" ContentType="application/vnd.openxmlformats-officedocument.spreadsheetml.worksheet+xml"/>
  <Override PartName="/xl/worksheets/sheet5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worksheets/sheet40.xml" ContentType="application/vnd.openxmlformats-officedocument.spreadsheetml.worksheet+xml"/>
  <Override PartName="/xl/charts/chart2.xml" ContentType="application/vnd.openxmlformats-officedocument.drawingml.chart+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worksheets/sheet49.xml" ContentType="application/vnd.openxmlformats-officedocument.spreadsheetml.worksheet+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54.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Override PartName="/xl/worksheets/sheet34.xml" ContentType="application/vnd.openxmlformats-officedocument.spreadsheetml.worksheet+xml"/>
  <Override PartName="/xl/worksheets/sheet43.xml" ContentType="application/vnd.openxmlformats-officedocument.spreadsheetml.worksheet+xml"/>
  <Override PartName="/xl/worksheets/sheet52.xml" ContentType="application/vnd.openxmlformats-officedocument.spreadsheetml.worksheet+xml"/>
  <Default Extension="bin" ContentType="application/vnd.openxmlformats-officedocument.spreadsheetml.printerSettings"/>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worksheets/sheet41.xml" ContentType="application/vnd.openxmlformats-officedocument.spreadsheetml.worksheet+xml"/>
  <Override PartName="/xl/worksheets/sheet50.xml" ContentType="application/vnd.openxmlformats-officedocument.spreadsheetml.worksheet+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charts/chart1.xml" ContentType="application/vnd.openxmlformats-officedocument.drawingml.chart+xml"/>
  <Override PartName="/xl/drawings/drawing3.xml" ContentType="application/vnd.openxmlformats-officedocument.drawingml.chartshap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135" yWindow="15" windowWidth="19080" windowHeight="6225" firstSheet="2" activeTab="2"/>
  </bookViews>
  <sheets>
    <sheet name="Caratula 1" sheetId="59" state="hidden" r:id="rId1"/>
    <sheet name="Caratula 2" sheetId="60" state="hidden" r:id="rId2"/>
    <sheet name="Indice" sheetId="12" r:id="rId3"/>
    <sheet name="1.1" sheetId="1" r:id="rId4"/>
    <sheet name="1.2" sheetId="26" r:id="rId5"/>
    <sheet name="1.3" sheetId="24" r:id="rId6"/>
    <sheet name="1.4" sheetId="14" r:id="rId7"/>
    <sheet name="2.1" sheetId="3" r:id="rId8"/>
    <sheet name="2.2" sheetId="27" r:id="rId9"/>
    <sheet name="2.3" sheetId="21" r:id="rId10"/>
    <sheet name="2.4" sheetId="28" r:id="rId11"/>
    <sheet name="2.5" sheetId="47" r:id="rId12"/>
    <sheet name="2.6" sheetId="22" r:id="rId13"/>
    <sheet name="2.7" sheetId="31" r:id="rId14"/>
    <sheet name="2.8" sheetId="13" r:id="rId15"/>
    <sheet name="2.9" sheetId="29" r:id="rId16"/>
    <sheet name="3.1" sheetId="4" r:id="rId17"/>
    <sheet name="3.2" sheetId="33" r:id="rId18"/>
    <sheet name="4.1" sheetId="6" r:id="rId19"/>
    <sheet name="4.2" sheetId="35" r:id="rId20"/>
    <sheet name="4.3" sheetId="36" r:id="rId21"/>
    <sheet name="4.4" sheetId="34" r:id="rId22"/>
    <sheet name="4.5" sheetId="41" r:id="rId23"/>
    <sheet name="4.6" sheetId="5" r:id="rId24"/>
    <sheet name="4.7" sheetId="40" r:id="rId25"/>
    <sheet name="4.8" sheetId="37" r:id="rId26"/>
    <sheet name="4.9" sheetId="7" r:id="rId27"/>
    <sheet name="4.10" sheetId="43" r:id="rId28"/>
    <sheet name="4.11" sheetId="42" r:id="rId29"/>
    <sheet name="4.12" sheetId="44" r:id="rId30"/>
    <sheet name="4.13" sheetId="8" r:id="rId31"/>
    <sheet name="4.14" sheetId="48" r:id="rId32"/>
    <sheet name="4.15" sheetId="38" r:id="rId33"/>
    <sheet name="4.16" sheetId="15" r:id="rId34"/>
    <sheet name="4.17" sheetId="39" r:id="rId35"/>
    <sheet name="4.18" sheetId="45" r:id="rId36"/>
    <sheet name="4.19" sheetId="16" r:id="rId37"/>
    <sheet name="4.20" sheetId="49" r:id="rId38"/>
    <sheet name="4.21" sheetId="9" r:id="rId39"/>
    <sheet name="4.22" sheetId="50" r:id="rId40"/>
    <sheet name="4.23" sheetId="11" r:id="rId41"/>
    <sheet name="4.24" sheetId="51" r:id="rId42"/>
    <sheet name="4.25" sheetId="10" r:id="rId43"/>
    <sheet name="4.26" sheetId="52" r:id="rId44"/>
    <sheet name="5.1" sheetId="19" r:id="rId45"/>
    <sheet name="5.2" sheetId="20" r:id="rId46"/>
    <sheet name="5.3" sheetId="53" r:id="rId47"/>
    <sheet name="6.1" sheetId="54" r:id="rId48"/>
    <sheet name="6.2" sheetId="56" r:id="rId49"/>
    <sheet name="6.3" sheetId="58" r:id="rId50"/>
    <sheet name="6.4" sheetId="55" r:id="rId51"/>
    <sheet name="6.5" sheetId="57" r:id="rId52"/>
    <sheet name="7.1" sheetId="17" r:id="rId53"/>
    <sheet name="7.2" sheetId="18" r:id="rId54"/>
  </sheets>
  <definedNames>
    <definedName name="_xlnm.Print_Area" localSheetId="3">'1.1'!$A$2:$I$25</definedName>
    <definedName name="_xlnm.Print_Area" localSheetId="4">'1.2'!$A$2:$I$27</definedName>
    <definedName name="_xlnm.Print_Area" localSheetId="5">'1.3'!$A$3:$I$27</definedName>
    <definedName name="_xlnm.Print_Area" localSheetId="6">'1.4'!$A$4:$I$28</definedName>
    <definedName name="_xlnm.Print_Area" localSheetId="7">'2.1'!$A$2:$U$26</definedName>
    <definedName name="_xlnm.Print_Area" localSheetId="8">'2.2'!$A$1:$U$26</definedName>
    <definedName name="_xlnm.Print_Area" localSheetId="9">'2.3'!$A$2:$I$35</definedName>
    <definedName name="_xlnm.Print_Area" localSheetId="10">'2.4'!$A$3:$K$39</definedName>
    <definedName name="_xlnm.Print_Area" localSheetId="11">'2.5'!$A$3:$I$37</definedName>
    <definedName name="_xlnm.Print_Area" localSheetId="12">'2.6'!$A$3:$I$35</definedName>
    <definedName name="_xlnm.Print_Area" localSheetId="13">'2.7'!$A$3:$I$39</definedName>
    <definedName name="_xlnm.Print_Area" localSheetId="14">'2.8'!$A$2:$V$27</definedName>
    <definedName name="_xlnm.Print_Area" localSheetId="15">'2.9'!$A$3:$V$28</definedName>
    <definedName name="_xlnm.Print_Area" localSheetId="16">'3.1'!$A$3:$L$29</definedName>
    <definedName name="_xlnm.Print_Area" localSheetId="17">'3.2'!$A$4:$J$30</definedName>
    <definedName name="_xlnm.Print_Area" localSheetId="18">'4.1'!$A$3:$U$25</definedName>
    <definedName name="_xlnm.Print_Area" localSheetId="27">'4.10'!$A$3:$T$26</definedName>
    <definedName name="_xlnm.Print_Area" localSheetId="28">'4.11'!$A$2:$I$27</definedName>
    <definedName name="_xlnm.Print_Area" localSheetId="29">'4.12'!$A$3:$U$28</definedName>
    <definedName name="_xlnm.Print_Area" localSheetId="30">'4.13'!$A$2:$G$25</definedName>
    <definedName name="_xlnm.Print_Area" localSheetId="31">'4.14'!$A$2:$H$25</definedName>
    <definedName name="_xlnm.Print_Area" localSheetId="32">'4.15'!$A$6:$I$37</definedName>
    <definedName name="_xlnm.Print_Area" localSheetId="33">'4.16'!$A$2:$I$25</definedName>
    <definedName name="_xlnm.Print_Area" localSheetId="34">'4.17'!$A$3:$I$38</definedName>
    <definedName name="_xlnm.Print_Area" localSheetId="35">'4.18'!$A$2:$I$26</definedName>
    <definedName name="_xlnm.Print_Area" localSheetId="36">'4.19'!$A$2:$E$17</definedName>
    <definedName name="_xlnm.Print_Area" localSheetId="19">'4.2'!$A$4:$H$29</definedName>
    <definedName name="_xlnm.Print_Area" localSheetId="38">'4.21'!$A$2:$G$23</definedName>
    <definedName name="_xlnm.Print_Area" localSheetId="39">'4.22'!$A$2:$G$22</definedName>
    <definedName name="_xlnm.Print_Area" localSheetId="40">'4.23'!$A$2:$E$23</definedName>
    <definedName name="_xlnm.Print_Area" localSheetId="41">'4.24'!$A$2:$E$23</definedName>
    <definedName name="_xlnm.Print_Area" localSheetId="42">'4.25'!$A$2:$E$23</definedName>
    <definedName name="_xlnm.Print_Area" localSheetId="43">'4.26'!$A$2:$E$23</definedName>
    <definedName name="_xlnm.Print_Area" localSheetId="20">'4.3'!$A$6:$U$30</definedName>
    <definedName name="_xlnm.Print_Area" localSheetId="21">'4.4'!$A$5:$I$29</definedName>
    <definedName name="_xlnm.Print_Area" localSheetId="22">'4.5'!$A$2:$I$26</definedName>
    <definedName name="_xlnm.Print_Area" localSheetId="23">'4.6'!$A$2:$U$26</definedName>
    <definedName name="_xlnm.Print_Area" localSheetId="24">'4.7'!$A$2:$I$27</definedName>
    <definedName name="_xlnm.Print_Area" localSheetId="25">'4.8'!$A$2:$U$27</definedName>
    <definedName name="_xlnm.Print_Area" localSheetId="26">'4.9'!$A$2:$I$25</definedName>
    <definedName name="_xlnm.Print_Area" localSheetId="44">'5.1'!$A$2:$D$20</definedName>
    <definedName name="_xlnm.Print_Area" localSheetId="45">'5.2'!$A$46:$D$64</definedName>
    <definedName name="_xlnm.Print_Area" localSheetId="46">'5.3'!$A$2:$D$20</definedName>
    <definedName name="_xlnm.Print_Area" localSheetId="47">'6.1'!$A$3:$J$53</definedName>
    <definedName name="_xlnm.Print_Area" localSheetId="48">'6.2'!$A$2:$I$85</definedName>
    <definedName name="_xlnm.Print_Area" localSheetId="49">'6.3'!$A$8:$E$32</definedName>
    <definedName name="_xlnm.Print_Area" localSheetId="50">'6.4'!$A$5:$G$30</definedName>
    <definedName name="_xlnm.Print_Area" localSheetId="51">'6.5'!$A$4:$G$30</definedName>
    <definedName name="_xlnm.Print_Area" localSheetId="52">'7.1'!$A$3:$A$39</definedName>
    <definedName name="_xlnm.Print_Area" localSheetId="53">'7.2'!$A$3:$C$65</definedName>
    <definedName name="_xlnm.Print_Area" localSheetId="0">'Caratula 1'!$A$1:$I$55</definedName>
    <definedName name="_xlnm.Print_Area" localSheetId="1">'Caratula 2'!$A$1:$I$51</definedName>
    <definedName name="_xlnm.Print_Area" localSheetId="2">Indice!$A$1:$D$53</definedName>
    <definedName name="Cuadro_1.1_Gasto_ambiental_de_gobiernos_locales__municipales__por_clasificaciones_CAPA_y_CGRN" localSheetId="2">'1.1'!$C$1</definedName>
    <definedName name="Cuadro_1.1_Gasto_ambiental_de_gobiernos_locales__municipales__por_clasificaciones_CAPA_y_CGRN">'1.1'!$C$1</definedName>
    <definedName name="Cuadro_1.1_Gasto_ambiental_de_gobiernos_locales_por_clasificaciones_CAPA_y_CGRN">'1.1'!#REF!</definedName>
    <definedName name="Cuadro_4.4_Gasto_ambiental_per_cápita_gobierno_general_2001_2006">Indice!$A$14</definedName>
  </definedNames>
  <calcPr calcId="125725"/>
</workbook>
</file>

<file path=xl/calcChain.xml><?xml version="1.0" encoding="utf-8"?>
<calcChain xmlns="http://schemas.openxmlformats.org/spreadsheetml/2006/main">
  <c r="G28" i="55"/>
  <c r="F28"/>
  <c r="E28"/>
  <c r="D28"/>
  <c r="C28"/>
  <c r="B28"/>
  <c r="E18" i="52" l="1"/>
  <c r="D18"/>
  <c r="E14"/>
  <c r="E19" s="1"/>
  <c r="D14"/>
  <c r="D19" s="1"/>
  <c r="D11" i="9"/>
  <c r="F24" i="47"/>
  <c r="E24"/>
  <c r="E11" s="1"/>
  <c r="D24"/>
  <c r="F12"/>
  <c r="E12"/>
  <c r="D12"/>
  <c r="G11"/>
  <c r="F11"/>
  <c r="D11"/>
  <c r="H19" i="35" l="1"/>
  <c r="H26" s="1"/>
  <c r="G19"/>
  <c r="G26" s="1"/>
  <c r="F19"/>
  <c r="F26" s="1"/>
  <c r="E19"/>
  <c r="E26" s="1"/>
  <c r="D19"/>
  <c r="D26" s="1"/>
  <c r="C19"/>
  <c r="C26" s="1"/>
  <c r="R7" i="33"/>
  <c r="V12" i="29"/>
  <c r="U12"/>
  <c r="S12"/>
  <c r="R12"/>
  <c r="P12"/>
  <c r="O12"/>
  <c r="J12"/>
  <c r="H12"/>
  <c r="G12"/>
  <c r="F12"/>
  <c r="U23" i="27"/>
  <c r="T23"/>
  <c r="S23"/>
  <c r="R23"/>
  <c r="Q23"/>
  <c r="P23"/>
  <c r="O23"/>
  <c r="N23"/>
  <c r="M23"/>
  <c r="L23"/>
  <c r="K23"/>
  <c r="J23"/>
  <c r="I23"/>
  <c r="H23"/>
  <c r="G23"/>
  <c r="F23"/>
  <c r="E23"/>
  <c r="D23"/>
  <c r="U22"/>
  <c r="T22"/>
  <c r="S22"/>
  <c r="R22"/>
  <c r="Q22"/>
  <c r="P22"/>
  <c r="O22"/>
  <c r="N22"/>
  <c r="M22"/>
  <c r="L22"/>
  <c r="K22"/>
  <c r="J22"/>
  <c r="I22"/>
  <c r="H22"/>
  <c r="G22"/>
  <c r="F22"/>
  <c r="E22"/>
  <c r="D22"/>
  <c r="U21"/>
  <c r="S21"/>
  <c r="P21"/>
  <c r="O21"/>
  <c r="M21"/>
  <c r="L21"/>
  <c r="J21"/>
  <c r="F21"/>
  <c r="D21"/>
  <c r="U20"/>
  <c r="T20"/>
  <c r="S20"/>
  <c r="R20"/>
  <c r="Q20"/>
  <c r="P20"/>
  <c r="O20"/>
  <c r="N20"/>
  <c r="M20"/>
  <c r="L20"/>
  <c r="K20"/>
  <c r="J20"/>
  <c r="I20"/>
  <c r="H20"/>
  <c r="G20"/>
  <c r="F20"/>
  <c r="E20"/>
  <c r="D20"/>
  <c r="U19"/>
  <c r="T19"/>
  <c r="S19"/>
  <c r="R19"/>
  <c r="Q19"/>
  <c r="P19"/>
  <c r="O19"/>
  <c r="N19"/>
  <c r="M19"/>
  <c r="L19"/>
  <c r="K19"/>
  <c r="J19"/>
  <c r="I19"/>
  <c r="H19"/>
  <c r="G19"/>
  <c r="F19"/>
  <c r="E19"/>
  <c r="D19"/>
  <c r="U18"/>
  <c r="T18"/>
  <c r="S18"/>
  <c r="R18"/>
  <c r="Q18"/>
  <c r="P18"/>
  <c r="O18"/>
  <c r="M18"/>
  <c r="L18"/>
  <c r="J18"/>
  <c r="I18"/>
  <c r="G18"/>
  <c r="F18"/>
  <c r="D18"/>
  <c r="U16"/>
  <c r="T16"/>
  <c r="S16"/>
  <c r="R16"/>
  <c r="Q16"/>
  <c r="P16"/>
  <c r="O16"/>
  <c r="N16"/>
  <c r="M16"/>
  <c r="L16"/>
  <c r="K16"/>
  <c r="J16"/>
  <c r="I16"/>
  <c r="H16"/>
  <c r="G16"/>
  <c r="F16"/>
  <c r="E16"/>
  <c r="D16"/>
  <c r="U15"/>
  <c r="T15"/>
  <c r="S15"/>
  <c r="R15"/>
  <c r="Q15"/>
  <c r="P15"/>
  <c r="O15"/>
  <c r="N15"/>
  <c r="M15"/>
  <c r="L15"/>
  <c r="K15"/>
  <c r="J15"/>
  <c r="I15"/>
  <c r="H15"/>
  <c r="G15"/>
  <c r="F15"/>
  <c r="E15"/>
  <c r="D15"/>
  <c r="U14"/>
  <c r="T14"/>
  <c r="S14"/>
  <c r="R14"/>
  <c r="Q14"/>
  <c r="P14"/>
  <c r="O14"/>
  <c r="N14"/>
  <c r="M14"/>
  <c r="L14"/>
  <c r="J14"/>
  <c r="I14"/>
  <c r="G14"/>
  <c r="F14"/>
  <c r="D14"/>
  <c r="U13"/>
  <c r="T13"/>
  <c r="S13"/>
  <c r="R13"/>
  <c r="Q13"/>
  <c r="P13"/>
  <c r="O13"/>
  <c r="N13"/>
  <c r="M13"/>
  <c r="L13"/>
  <c r="K13"/>
  <c r="J13"/>
  <c r="I13"/>
  <c r="H13"/>
  <c r="G13"/>
  <c r="F13"/>
  <c r="E13"/>
  <c r="D13"/>
  <c r="I12"/>
  <c r="G12"/>
  <c r="U11"/>
  <c r="T11"/>
  <c r="S11"/>
  <c r="R11"/>
  <c r="Q11"/>
  <c r="P11"/>
  <c r="O11"/>
  <c r="N11"/>
  <c r="M11"/>
  <c r="L11"/>
  <c r="K11"/>
  <c r="J11"/>
  <c r="I11"/>
  <c r="H11"/>
  <c r="G11"/>
  <c r="F11"/>
  <c r="E11"/>
  <c r="D11"/>
  <c r="U10"/>
  <c r="T10"/>
  <c r="R10"/>
  <c r="Q10"/>
  <c r="O10"/>
  <c r="N10"/>
  <c r="I10"/>
  <c r="G10"/>
  <c r="F10"/>
  <c r="E10"/>
  <c r="I22" i="24"/>
  <c r="H22"/>
  <c r="G22"/>
  <c r="F22"/>
  <c r="E22"/>
  <c r="D22"/>
  <c r="I21"/>
  <c r="G21"/>
  <c r="F21"/>
  <c r="D21"/>
  <c r="I20"/>
  <c r="G20"/>
  <c r="F20"/>
  <c r="D20"/>
  <c r="I19"/>
  <c r="G19"/>
  <c r="F19"/>
  <c r="D19"/>
  <c r="I17"/>
  <c r="H17"/>
  <c r="G17"/>
  <c r="F17"/>
  <c r="E17"/>
  <c r="D17"/>
  <c r="I16"/>
  <c r="H16"/>
  <c r="G16"/>
  <c r="F16"/>
  <c r="D16"/>
  <c r="I15"/>
  <c r="H15"/>
  <c r="G15"/>
  <c r="F15"/>
  <c r="D15"/>
  <c r="I14"/>
  <c r="H14"/>
  <c r="G14"/>
  <c r="F14"/>
  <c r="E14"/>
  <c r="D14"/>
  <c r="I13"/>
  <c r="H13"/>
  <c r="G13"/>
  <c r="F13"/>
  <c r="E13"/>
  <c r="D13"/>
  <c r="I21" i="26"/>
  <c r="H21"/>
  <c r="G21"/>
  <c r="F21"/>
  <c r="E21"/>
  <c r="D21"/>
  <c r="I20"/>
  <c r="H20"/>
  <c r="G20"/>
  <c r="F20"/>
  <c r="E20"/>
  <c r="D20"/>
  <c r="I19"/>
  <c r="G19"/>
  <c r="F19"/>
  <c r="D19"/>
  <c r="I18"/>
  <c r="H18"/>
  <c r="G18"/>
  <c r="F18"/>
  <c r="E18"/>
  <c r="D18"/>
  <c r="I16"/>
  <c r="H16"/>
  <c r="G16"/>
  <c r="F16"/>
  <c r="E16"/>
  <c r="D16"/>
  <c r="I15"/>
  <c r="H15"/>
  <c r="G15"/>
  <c r="F15"/>
  <c r="D15"/>
  <c r="I14"/>
  <c r="H14"/>
  <c r="G14"/>
  <c r="F14"/>
  <c r="D14"/>
  <c r="I13"/>
  <c r="H13"/>
  <c r="G13"/>
  <c r="F13"/>
  <c r="E13"/>
  <c r="D13"/>
  <c r="I12"/>
  <c r="H12"/>
  <c r="G12"/>
  <c r="F12"/>
  <c r="E12"/>
  <c r="D12"/>
  <c r="G14" i="4"/>
  <c r="I20" i="1"/>
  <c r="I19"/>
  <c r="I18"/>
  <c r="I17"/>
  <c r="I15"/>
  <c r="I14"/>
  <c r="I13"/>
  <c r="I12"/>
  <c r="I11"/>
  <c r="H20"/>
  <c r="H15"/>
  <c r="H14"/>
  <c r="H13"/>
  <c r="H12"/>
  <c r="H11"/>
  <c r="G20"/>
  <c r="G19"/>
  <c r="G18"/>
  <c r="G17"/>
  <c r="G15"/>
  <c r="G14"/>
  <c r="G13"/>
  <c r="G12"/>
  <c r="G11"/>
  <c r="E15"/>
  <c r="D17"/>
  <c r="E20"/>
  <c r="F19"/>
  <c r="F18"/>
  <c r="F17"/>
  <c r="F11"/>
  <c r="F20"/>
  <c r="F15"/>
  <c r="F14"/>
  <c r="F13"/>
  <c r="F12"/>
  <c r="E12"/>
  <c r="E11"/>
  <c r="D20"/>
  <c r="D19"/>
  <c r="D18"/>
  <c r="D15"/>
  <c r="D14"/>
  <c r="D13"/>
  <c r="D12"/>
  <c r="D11"/>
  <c r="C40" i="20"/>
  <c r="D40"/>
  <c r="C41"/>
  <c r="D41"/>
  <c r="C39"/>
  <c r="D39"/>
  <c r="C38"/>
  <c r="D38"/>
  <c r="C37"/>
  <c r="D37"/>
  <c r="C36"/>
  <c r="D36"/>
  <c r="C35"/>
  <c r="D35"/>
  <c r="C34"/>
  <c r="D34"/>
  <c r="C33"/>
  <c r="D33"/>
  <c r="C32"/>
  <c r="D32"/>
  <c r="B41"/>
  <c r="B40"/>
  <c r="B39"/>
  <c r="B38"/>
  <c r="B37"/>
  <c r="B36"/>
  <c r="B35"/>
  <c r="B34"/>
  <c r="B33"/>
  <c r="B32"/>
  <c r="E19" i="11" l="1"/>
  <c r="D19"/>
</calcChain>
</file>

<file path=xl/sharedStrings.xml><?xml version="1.0" encoding="utf-8"?>
<sst xmlns="http://schemas.openxmlformats.org/spreadsheetml/2006/main" count="2147" uniqueCount="657">
  <si>
    <t>Capital</t>
  </si>
  <si>
    <t>Gobierno Local</t>
  </si>
  <si>
    <t>Años 2005 - 2006</t>
  </si>
  <si>
    <t>Quetzales corrientes</t>
  </si>
  <si>
    <t>Gobierno Central</t>
  </si>
  <si>
    <t>Años 2001 - 2006</t>
  </si>
  <si>
    <t xml:space="preserve">Total </t>
  </si>
  <si>
    <t>Gestión de los residuos</t>
  </si>
  <si>
    <t>Protección y descontaminación de los suelos, aguas subterráneas y aguas superficiales</t>
  </si>
  <si>
    <t>Protección a la biodiversidad y los paisajes</t>
  </si>
  <si>
    <t>Investigación y desarrollo</t>
  </si>
  <si>
    <t>Otras actividades</t>
  </si>
  <si>
    <t>Activos del subsuelo</t>
  </si>
  <si>
    <t>Aguas interiores</t>
  </si>
  <si>
    <t>Recursos forestales</t>
  </si>
  <si>
    <t>Flora y fauna natural</t>
  </si>
  <si>
    <t>Año 2006</t>
  </si>
  <si>
    <t>Años 2001-2006</t>
  </si>
  <si>
    <t>Años 2005-2006</t>
  </si>
  <si>
    <t>Descripción</t>
  </si>
  <si>
    <t xml:space="preserve">Gestión de residuos </t>
  </si>
  <si>
    <t>Protección de la biodiversidad y los paisajes</t>
  </si>
  <si>
    <t>Otras actividades de protección ambiental</t>
  </si>
  <si>
    <t>Manejo de Agua</t>
  </si>
  <si>
    <t>Manejo de tierras</t>
  </si>
  <si>
    <t>Protección y descontaminación de suelos y aguas</t>
  </si>
  <si>
    <t xml:space="preserve"> Investigación y desarrollo</t>
  </si>
  <si>
    <t>Total CAPA</t>
  </si>
  <si>
    <t>(incluye agua y saneamiento)</t>
  </si>
  <si>
    <t>(no incluye agua y saneamiento)</t>
  </si>
  <si>
    <t>( incluye agua y saneamiento)</t>
  </si>
  <si>
    <t>Año 2005 - 2006</t>
  </si>
  <si>
    <t>Quetzales constantes</t>
  </si>
  <si>
    <t>Cifras en US$</t>
  </si>
  <si>
    <t>Año</t>
  </si>
  <si>
    <t>Guatemala</t>
  </si>
  <si>
    <t>Colombia</t>
  </si>
  <si>
    <t>Costa Rica</t>
  </si>
  <si>
    <t>México</t>
  </si>
  <si>
    <t xml:space="preserve">Año </t>
  </si>
  <si>
    <t xml:space="preserve">Colombia </t>
  </si>
  <si>
    <t xml:space="preserve">Corriente </t>
  </si>
  <si>
    <t>Sin clasificar</t>
  </si>
  <si>
    <t xml:space="preserve"> (incluye agua y saneamiento)</t>
  </si>
  <si>
    <t>Referencias</t>
  </si>
  <si>
    <t>Término</t>
  </si>
  <si>
    <t>Definición</t>
  </si>
  <si>
    <t xml:space="preserve">Gobierno local </t>
  </si>
  <si>
    <t>Se definen como aquellas actividades cuyo enfoque principal es el manejo sostenible de los recursos naturales.</t>
  </si>
  <si>
    <t>Indicador del valor de las mercancías o servicios acumulados al momento de la operación; se emplea, para referirse a los valores de las mercancías expresados a precios de cada año.</t>
  </si>
  <si>
    <t xml:space="preserve">Protección del aire y del clima  </t>
  </si>
  <si>
    <t>Protección del aire y del clima incluye aquellas medidas y actividades cuyo objetivo es reducir las emisiones contaminantes en al aire o las concentraciones de contaminantes atmosféricos, así como aquellas medidas y actividades cuyo objetivo es controlar la emisión de gases de efecto invernadero y gases que afectan negativamente a la capa de ozono estratosférico.</t>
  </si>
  <si>
    <t>La gestión de las aguas residuales comprende aquellas actividades y medidas cuyo objetivo es prevenir la contaminación de las aguas superficiales reduciendo la descarga de aguas residuales en las aguas superficiales interiores y en las aguas marinas. Se incluyen aquí la recogida y el tratamiento de aguas residuales, así como las actividades normativas y de control. También se incluyen las fosas sépticas.</t>
  </si>
  <si>
    <t>Protección y descontaminación de suelos, aguas subterráneas y aguas superficiales</t>
  </si>
  <si>
    <t>Por protección y descontaminación de suelos, aguas subterráneas y aguas superficiales, se entienden aquellas medidas y actividades cuyo objetivo es la prevención de la infiltración de contaminantes, la limpieza de suelos y masas de agua y la protección de suelos contra la erosión y otros tipos de degradación física y contra la salinizacion. Se incluye el control de la contaminación de los suelos y de las aguas subterráneas.</t>
  </si>
  <si>
    <t>Reducción del ruido y las vibraciones (excluida la protección en el lugar de trabajo)</t>
  </si>
  <si>
    <t>Por  reducción del ruido y las vibraciones, se entienden aquellas medidas y actividades cuyo objetivo es el control, reducción y eliminación de ruidos y vibraciones causados por la actividad industrial y el transporte. Se incluyen las actividades para reducir el ruido causado por el vecindario (insonorización de salas de baile, etc.), así como las actividades para reducir el ruido en lugares frecuentados por el público (piscinas, etc.), en escuelas, etc.</t>
  </si>
  <si>
    <t>Por protección de la biodiversidad y los paisajes, se entiende aquellas medidas y actividades cuyo objetivo es proteger y recuperar las especies animales y vegetales, los ecosistemas y los hábitats, así como los paisajes naturales  y seminaturales. Puede ocurrir que, en la práctica, sea difícil distinguir entre la protección de la «biodiversidad» y la de los «paisajes». Por ejemplo, mantener o crear ciertos tipos de paisaje, biotopos, zonas ecológicas y temas similares (filas de setos, líneas de árboles para restablecer «pasillos naturales» ) es una actividad claramente relacionada con la preservación de la biodiversidad.</t>
  </si>
  <si>
    <t>La protección contra las radiaciones comprende las actividades y medidas destinadas a reducir o eliminar las consecuencias negativas de las radiaciones emitidas por cualquier fuente. Se incluye la manipulación, el transporte y tratamiento de residuos con alto índice de radiactividad, es decir, los residuos que, debido a su elevado contenido en radionucleidos, requieren blindaje durante las operaciones normales de manipulación y transporte</t>
  </si>
  <si>
    <t>La investigación y desarrollo (I+D) comprende las actividades creativas emprendidas de manera sistemática con el fin de incrementar la base de conocimientos y la utilización de los mismos para diseñar nuevas aplicaciones en el ámbito de la protección medioambiental.</t>
  </si>
  <si>
    <t xml:space="preserve">Otras actividades de protección del medio ambiente </t>
  </si>
  <si>
    <t xml:space="preserve">En otras actividades de protección del medio ambiente se incluyen todas las actividades de protección medioambiental de la administración y gestión del medio ambiente, o actividades de formación o aprendizaje orientadas específicamente a la protección medioambiental de información al público. Asimismo, se incluyen las actividades que generan gastos no desglosables como las actividades no clasificadas en otra parte. </t>
  </si>
  <si>
    <t>Control regulatorio</t>
  </si>
  <si>
    <t>Manejo de agua interior</t>
  </si>
  <si>
    <t>Manejo de tierras (suelos)</t>
  </si>
  <si>
    <t>Todas las actividades de manejo de tierras dirigidas al uso sostenible. Incluye los gastos en todas las áreas abiertas para recreación, principalmente campos de deporte, parques y terrenos del Estado no reservadas para la biodiversidad nativa.</t>
  </si>
  <si>
    <t xml:space="preserve">Manejo forestal </t>
  </si>
  <si>
    <t>Se encuentra conformado por todas aquellas actividades encaminadas a uso y manejo sostenible de los bosques, ya sea por motivos económicos o sociales.</t>
  </si>
  <si>
    <t xml:space="preserve">Manejo de otros recursos </t>
  </si>
  <si>
    <t xml:space="preserve">Gasto no ambiental </t>
  </si>
  <si>
    <t xml:space="preserve">Sector forestal </t>
  </si>
  <si>
    <t xml:space="preserve">Administración central </t>
  </si>
  <si>
    <t>La Administración Central está constituida por los poderes públicos, ministerios y sus dependencias (departamentos, oficinas, establecimientos, etc.), y otros entes clasificados dentro de la administración pública como órganos o instituciones del Gobierno General y que forman parte del Presupuesto General de Ingresos y Egresos del Estado; se incluye aquí los Organismos Legislativo y Judicial.</t>
  </si>
  <si>
    <t>Presupuesto general de egresos</t>
  </si>
  <si>
    <t>Producto Interno Bruto</t>
  </si>
  <si>
    <t>Valor de todos los bienes y servicios finales producidos internamente en un determinado período de tiempo, dentro de un país. Se diferencia del Producto Nacional Bruto, en que éste último es la producción llevada a cabo por los factores propiedad del país; mientras que en el PIB, no se repara quién es el dueño de los factores.</t>
  </si>
  <si>
    <t xml:space="preserve">Gasto ambiental per cápita </t>
  </si>
  <si>
    <t>Refleja los gastos realizados por persona con objetivos ambientales.</t>
  </si>
  <si>
    <t>Programas de eficiencia energética</t>
  </si>
  <si>
    <t>Incluye todas las actividades dirigidas al mejoramiento del uso de las fuentes de energía existentes o el cambio hacia fuentes energéticas más eficientes. También incluye actividades dirigidas a la reducción de la demanda de energía, desde instalaciones de aislamiento hasta proyectos dirigidos a la reducción del viaje al trabajo.</t>
  </si>
  <si>
    <t>Programas de eficiencia minera</t>
  </si>
  <si>
    <t>Incluye todas las actividades dirigidas al incremento de eficiencia de las operaciones mineras y reducción del nivel de productos residuales.</t>
  </si>
  <si>
    <t>Educación, entrenamiento y servicios de información</t>
  </si>
  <si>
    <t>Incluye todas las actividades designadas para aumentar el entendimiento y la experiencia en el área del manejo y sostenibilidad de los recursos naturales.</t>
  </si>
  <si>
    <t>Manejo de otros recursos</t>
  </si>
  <si>
    <t>Cualquier otra actividad relacionada con el manejo de los recursos naturales y el uso sostenible de la tierra, no clasificado en otro apartado.</t>
  </si>
  <si>
    <t>Gasto corriente</t>
  </si>
  <si>
    <t>Comprenden las erogaciones destinadas a las actividades de producción de bienes y servicios del sector público, el pago de intereses por deudas y préstamos y las transferencias de recursos que no involucran una contraprestación efectiva de bienes y servicios.</t>
  </si>
  <si>
    <t xml:space="preserve">Gasto de capital </t>
  </si>
  <si>
    <t>Son gastos destinados a la adquisición o producción de bienes materiales e inmateriales y a inversión financiera, que incrementan el activo del Estado y sirven de base para la producción de bienes y servicios. Los gastos de capital incluyen la inversión real, las transferencias de capital y la inversión financiera.</t>
  </si>
  <si>
    <t>Son gastos destinados a la adquisición o producción por cuenta propia de bienes de capital. Estos gastos comprenden las edificaciones, instalaciones, construcciones y equipos que sirven para producir otros bienes y servicios, no se agotan en el primer uso que de ellos se hace, tienen un uso superior a un año y en la mayoría de los casos, están sujetos a depreciación.</t>
  </si>
  <si>
    <t>Inversión financiera</t>
  </si>
  <si>
    <t xml:space="preserve">Capital natural </t>
  </si>
  <si>
    <t>De manera simple, es posible definir el capital natural como un conjunto de dinámicas valiosas que la naturaleza provee a los seres humanos, que incluye la formación y regeneración de los recursos naturales y de donde fluye constantemente una serie de servicios ambientales.</t>
  </si>
  <si>
    <t>SCAEI</t>
  </si>
  <si>
    <t>Lo podemos distinguir como un flujo de servicios, por ejemplo cualquier servicio ambiental favorable que generan los recursos naturales. Ejemplo manutención de vastos paisajes y sitios recreacionales.</t>
  </si>
  <si>
    <t>Gasto comprometido</t>
  </si>
  <si>
    <t>Gasto devengado</t>
  </si>
  <si>
    <t>Para la ejecución del presupuesto de egresos se considera devengado un gasto cuando queda afectado definitivamente el crédito presupuestario al cumplirse la condición que haga exigible una deuda, con la recepción conforme de los bienes y servicios o al disponerse el pago de aportes, subsidios o anticipos. (Articulo 12, Reglamento de la Ley Orgánica del Presupuesto, Acuerdo Gubernativo No. 240-98). Es el momento de la ejecución del gasto en que la deuda se hace exigible al ingresar a la Institución los bienes o servicios o al disponerse el pago de aportes, subsidios o anticipos. Aquí se producen hechos jurídicos y es la etapa del registro que capta la contabilidad patrimonial y el nexo de integración en el sistema presupuestario.</t>
  </si>
  <si>
    <t>Es el monto aprobado inicialmente en el Presupuesto General de Ingresos y Egresos del Estado.</t>
  </si>
  <si>
    <t>Contabilidad del estado</t>
  </si>
  <si>
    <t>Gastos económicos</t>
  </si>
  <si>
    <t>Finalidad dentro de los presupuestos</t>
  </si>
  <si>
    <t>Permite consultar la distribución de los montos en relación a la Clasificación por Finalidades y Funciones, en sus componentes de finalidades. Los conceptos y definiciones de esta clasificación se han basado en los contenidos en el Manual de Cuentas Nacionales de Naciones Unidas y en el Manual de Estadísticas de las Finanzas Públicas del Fondo Monetario Internacional, adaptados a la realidad de la administración pública de Guatemala. Este clasificador muestra el gasto según la naturaleza de los servicios que prestan las instituciones públicas a la comunidad. La clasificación por finalidades muestra los objetivos generales de Gobierno</t>
  </si>
  <si>
    <t>Grupo de gasto</t>
  </si>
  <si>
    <t>Permite consultar la distribución de los montos desagregados en relación a la Clasificación por Objeto del Gasto. La clasificación por objeto del gasto constituye una ordenación sistemática y homogénea de los bienes y servicios, las transferencias y las variaciones de activos y pasivos que el sector público aplica en el desarrollo de su proceso productivo. Los objetivos fundamentales de esta clasificación son: permitir niveles de desagregación en sus cuentas, para facilitar el registro único de todas las transacciones con incidencia económico-financiera que realizan las instituciones públicas; servir como instrumento informativo para el análisis y seguimiento de la gestión financiera; y, servir como clasificador analítico o primario del sistema de clasificaciones presupuestarias.</t>
  </si>
  <si>
    <t xml:space="preserve">Institución en el sistema integrado de información </t>
  </si>
  <si>
    <t>Permite desplegar el listado de las entidades que reportan en el SIAF, a través de las Unidades de Administración Financiera -UDAF-, los gastos que realizan conforme a su presupuesto</t>
  </si>
  <si>
    <t>Presupuesto vigente</t>
  </si>
  <si>
    <t>Es el monto resultante del valor aprobado inicialmente en el Presupuesto General de Ingresos y Egresos del Estado, afectado por las transferencias y modificaciones presupuestarias que se realizan conforme a la ley, durante la ejecución del presupuesto.</t>
  </si>
  <si>
    <t>Tipos de impuestos</t>
  </si>
  <si>
    <t>Sector institucional</t>
  </si>
  <si>
    <t>Ecología</t>
  </si>
  <si>
    <t>La Ecología es la disciplina científica que trata de las relaciones entre los organismos y su ambiente pasado, presente, y futuro. Esas relaciones incluyen las respuestas ecofisiológicas de los individuos, la estructura y dinámica de las poblaciones, la organización biológica de las comunidades, el flujo de energía y materiales en los ecosistemas a diferentes escalas desde la local a la globa</t>
  </si>
  <si>
    <t>Intermediación financiera</t>
  </si>
  <si>
    <t>ISFLSH filantrópica</t>
  </si>
  <si>
    <t>Tierra forestal</t>
  </si>
  <si>
    <t>Otros usos</t>
  </si>
  <si>
    <t>Tierra con usos predominantemente agrícolas, ganaderos, mineros o urbanos. Incluye los cuerpos de agua mayores, tales como lagos y ríos.</t>
  </si>
  <si>
    <t>Bosque</t>
  </si>
  <si>
    <t>Tierra forestal abierta</t>
  </si>
  <si>
    <t>Es aquel complejo de vegetación boscosa derivado de la tala del bosque natural que tiene un uso parcialmente agrícola o ganadero, con distintas fases de reconstitución e incluye trechos de bosque no talados.</t>
  </si>
  <si>
    <t>Tierra forestal arbustiva</t>
  </si>
  <si>
    <t>Pastos</t>
  </si>
  <si>
    <t>Área con vegetación de gramíneas y herbáceas, natural o plantada que eventualmente puede tener árboles dispersos pero que no alcanzan una cobertura de copas del 5%.</t>
  </si>
  <si>
    <t xml:space="preserve">Cuenta satélite </t>
  </si>
  <si>
    <t>En ciertos tipos de análisis, el objetivo básico no es utilizar conceptos económicos alternativos, sino simplemente centrar la atención en determinado campo o aspecto de la vida económica y social en el contexto de las cuentas nacionales. El objetivo es poner de manifiesto y describir con mayor profundidad aspectos que están ocultos en las cuentas  del marco central o que aparecen únicamente en un número limitado de puntos; a esta descripción se le denomina cuenta satélite, el turismo es un buen ejemplo.</t>
  </si>
  <si>
    <t>*Este glosario fue desarrollado con base a Manual del Sistema de Cuentas Nacionales 1993, Manual de Clasificación Presupuestaria para el Sector Público y bibliografía seleccionada.</t>
  </si>
  <si>
    <t>Las actividades de protección ambiental como aquellas actividades cuyo propósito o función principal es la protección del ambiente natural, y la prevención o alivio de los efectos adversos de las actividades humanas, que pueden ser económicas o sociales. Las actividades incluyen la provisión tanto de bienes y servicios, algunos de los cuales pueden ser más aparentes que otros en el instante.</t>
  </si>
  <si>
    <t>Involucra todo plan, política y ejecución  del manejo de los recursos naturales, principalmente en la forma de consentimiento de los recursos y los planes distritales y regionales bajo la Ley del Manejo de los Recursos.</t>
  </si>
  <si>
    <t>Todas las actividades del manejo de agua interior  dirigidas al uso sostenible. Incluye trabajos de captación, trabajos de protección de inundaciones y/o desbordes y el monitoreo hidrológico.</t>
  </si>
  <si>
    <r>
      <t xml:space="preserve"> </t>
    </r>
    <r>
      <rPr>
        <sz val="8"/>
        <rFont val="Arial Narrow"/>
        <family val="2"/>
      </rPr>
      <t>La autoridad legislativa, judicial y ejecutiva de una unidad del gobierno local, se limita a las zonas geográficas más pequeñas (municipios) en las que puede dividirse a un país con fines políticos o administrativos. Suelen depender en gran parte de transferencias de la Administración Central.</t>
    </r>
  </si>
  <si>
    <t>Presidencia de la República</t>
  </si>
  <si>
    <t>Ministerio de Salud Pública y Asistencia Social</t>
  </si>
  <si>
    <t>Ministerio de Agricultura, Ganaderia y Alimentación</t>
  </si>
  <si>
    <t>Ministerio de Comunicaciones, Infraestructura y Vivienda</t>
  </si>
  <si>
    <t>Ministerio de Energía y Minas</t>
  </si>
  <si>
    <t>Ministerio de Cultura y Deportes</t>
  </si>
  <si>
    <t>Secretarías y Otras Dependencias del Ejecutivo</t>
  </si>
  <si>
    <t>Ministerio de Ambiente y Recursos Naturales</t>
  </si>
  <si>
    <t>INAB</t>
  </si>
  <si>
    <t>PINFOR</t>
  </si>
  <si>
    <t>Entidad</t>
  </si>
  <si>
    <t>PRESUPUESTO ASIGNADO</t>
  </si>
  <si>
    <t>GASTO AMBIENTAL POR ENTIDAD</t>
  </si>
  <si>
    <t>Porcentaje del presupuesto asignado a entidades destinado a actividades de medio ambiente o recursos naturales</t>
  </si>
  <si>
    <t>Años 2004-2006</t>
  </si>
  <si>
    <t>(Quetzales constantes)</t>
  </si>
  <si>
    <t>Cuadro 6.2. Glosario de la Cuenta Integrada de Gastos y Transacciones Ambientales</t>
  </si>
  <si>
    <t>Clasificación de actividades de protección ambiental (CAPA)</t>
  </si>
  <si>
    <t>Clasificación de gestión de recursos naturales (CGRN)</t>
  </si>
  <si>
    <t>Gobiernos locales</t>
  </si>
  <si>
    <t xml:space="preserve">                Gobierno general</t>
  </si>
  <si>
    <t>Clasificación y clasificadores</t>
  </si>
  <si>
    <t>Período 2001 - 2006</t>
  </si>
  <si>
    <t>*Por razones de redondeo algunas cifras pueden variar.</t>
  </si>
  <si>
    <t>Período 2001-2006</t>
  </si>
  <si>
    <t>Clasificaciones y clasificadores</t>
  </si>
  <si>
    <t>Fuente: Serie 2001-2006 de la Cuenta integrada de Gastos y Transacciones Ambientales (CIGTA), convenio Marco de cooperación URL-BANGUAT</t>
  </si>
  <si>
    <t xml:space="preserve">Cuadro 7 </t>
  </si>
  <si>
    <t>Gestón  de aguas residuales</t>
  </si>
  <si>
    <t>Gestión de residuos</t>
  </si>
  <si>
    <t>Clasificación actividades gestión de los recursos naturales (CGRN)</t>
  </si>
  <si>
    <t>Cuadro 8</t>
  </si>
  <si>
    <t>Gestión de aguas residuales</t>
  </si>
  <si>
    <t xml:space="preserve">Cuadro 9 </t>
  </si>
  <si>
    <t>Cuadro 2</t>
  </si>
  <si>
    <t>Cuadro 1</t>
  </si>
  <si>
    <t>Cuadro 4</t>
  </si>
  <si>
    <t>Cuadro 3</t>
  </si>
  <si>
    <t xml:space="preserve">Fuente: Serie 2001-2006 de la Cuenta integrada de Gastos y Transacciones Ambientales (CIGTA), Convenio Marco de Cooperación URL-BANGUAT </t>
  </si>
  <si>
    <t xml:space="preserve"> Cuadro 5</t>
  </si>
  <si>
    <t xml:space="preserve">Cuadro 6 </t>
  </si>
  <si>
    <t>Cuadro 10</t>
  </si>
  <si>
    <t>Cuenta de Gastos y Transacciones Ambientales: gasto ambiental de la administración central del Gobierno de Guatemala por clasificaciones CAPA y CGRN</t>
  </si>
  <si>
    <t>Cladificaciones y clasificadores</t>
  </si>
  <si>
    <t>Cuenta Integrada de Gastos y Transacciones Ambientales: gasto ambiental de la administración central del Gobierno de Guatemala por clasificaciones CAPA y CGRN</t>
  </si>
  <si>
    <t>Cuadro 11</t>
  </si>
  <si>
    <t>Cuadro 12</t>
  </si>
  <si>
    <t>Gobierno general*</t>
  </si>
  <si>
    <t>* Excluye empresas públicas y la seguridad social</t>
  </si>
  <si>
    <t>Año 2001-2006</t>
  </si>
  <si>
    <t>Cuenta Integrada de Gastos y Transacciones Ambientales: Gasto ambiental per cápita del gobierno general por actividades CAPA y CGRN</t>
  </si>
  <si>
    <t>Cuadro 13</t>
  </si>
  <si>
    <t>Cuadro 14</t>
  </si>
  <si>
    <t>Cuadro 18</t>
  </si>
  <si>
    <t>Cuadro 17</t>
  </si>
  <si>
    <t>Cuadro 20</t>
  </si>
  <si>
    <t>Cuadro 21</t>
  </si>
  <si>
    <t>Cuadro 22</t>
  </si>
  <si>
    <t>Cuadro 23</t>
  </si>
  <si>
    <t>Cuadro 24</t>
  </si>
  <si>
    <t>Cuadro 25</t>
  </si>
  <si>
    <t>Cuadro 26</t>
  </si>
  <si>
    <t>Cuadro 27</t>
  </si>
  <si>
    <t>Cuadro 28</t>
  </si>
  <si>
    <t>Cuadro 29</t>
  </si>
  <si>
    <t>Cuadro 31</t>
  </si>
  <si>
    <t>Cuadro 32</t>
  </si>
  <si>
    <t>Cuadro 33</t>
  </si>
  <si>
    <t>Cuadro 34</t>
  </si>
  <si>
    <t>Cuadro 35</t>
  </si>
  <si>
    <t xml:space="preserve">Cuadro 1. Gasto ambiental de gobiernos locales (municipales) por clasificaciones CAPA y CGRN,millones quetzales corrientes, sin agua y saneamiento </t>
  </si>
  <si>
    <t xml:space="preserve">Cuadro 2. Gasto ambiental de gobiernos locales (municipales) por clasificaciones CAPA y CGRN, millones de quetzales corrientes, incluye agua y saneamiento </t>
  </si>
  <si>
    <t>Cuado 3. Gasto ambiental de gobiernos locales, por clasificaciones CAPA y CGRN, millones de quetzales constantes, sin agua y saneamiento</t>
  </si>
  <si>
    <t>Corriente</t>
  </si>
  <si>
    <t xml:space="preserve">Cuadro 4. Gasto ambiental de gobiernos locales por clasificaciones CAPA y CGRN, millones de quetzales constantes, con agua y saneamiento </t>
  </si>
  <si>
    <t>Cuadro 5. Gasto ambiental de la administración central del Gobierno de Guatemala por clasificaciones CAPA y CGRN, millones de quetzales, sin agua y saneamiento</t>
  </si>
  <si>
    <t>Cuadro 7. Cuenta de gastos y transacciones ambientales: gasto ambiental ejecutado por la administración central del Gobierno de Guatemala, millones de quetzales corrientes, sin agua y saneamiento</t>
  </si>
  <si>
    <t xml:space="preserve">                                                         Clasificación y clasificadores</t>
  </si>
  <si>
    <t>* Por razones de redondeo algunas cifras pueden variar</t>
  </si>
  <si>
    <t>Clasificación de actividades de protección ambiental (CAPA**)</t>
  </si>
  <si>
    <t>Clasificación de gestión de recursos naturales (CGRN**)</t>
  </si>
  <si>
    <t>Millones de quetzales constantes *</t>
  </si>
  <si>
    <t>**CAPA: clasificación de actividades de protección ambiental; CGRN: clasificación de actividades de gestión de los recursos naturales</t>
  </si>
  <si>
    <t>Millones de quetzales constantes*</t>
  </si>
  <si>
    <t>clasificación económica presupuestaria, según clasificación CAPA y CGRN</t>
  </si>
  <si>
    <t>Cuenta Integrada de Gastos y Transacciones Ambientales: gasto ambiental de la administración central del Gobierno de Guatemala por clasificaciones CAPA y CGRN, según clasificación económica presupuestaria</t>
  </si>
  <si>
    <t>Indice!A1</t>
  </si>
  <si>
    <t>* Por redondeo algunas cifras pueden variar</t>
  </si>
  <si>
    <t xml:space="preserve">         Gobierno central</t>
  </si>
  <si>
    <t xml:space="preserve">Cuenta de Gastos y Transacciones Ambientales: gasto ambiental ejecutado por la administración central del Gobierno de Guatemala por </t>
  </si>
  <si>
    <t>Cuenta de Gastos y Transacciones Ambientales: gasto ambiental ejecutado por la administración central del Gobierno de Guatemala por                                                                    clasificación económica presupuestaria, según clasificaciones CAPA y  CGRN</t>
  </si>
  <si>
    <t>Millones de quetzales de cada año</t>
  </si>
  <si>
    <t>Millones de quetzales de cada año *</t>
  </si>
  <si>
    <t>Millones de quetzales de cada año*</t>
  </si>
  <si>
    <t xml:space="preserve"> Quetzales de cada año</t>
  </si>
  <si>
    <t>Quetzales de cada año</t>
  </si>
  <si>
    <t>* Pequeñas variaciones por redondeo de cifras</t>
  </si>
  <si>
    <t>Cuadro 8. Cuenta de gastos y transacciones ambientales: gasto ambiental ejecutado por la administración central del Gobierno de Guatemala, millones quetzales cada año, con agua y saneamiento</t>
  </si>
  <si>
    <t>Cuenta de Gastos y Transacciones Ambientales: gasto ambiental per cápita con base en gastos de la administración central del Gobierno de Guatemala</t>
  </si>
  <si>
    <t>** Por redondeo algunas cifras pueden variar</t>
  </si>
  <si>
    <t>Millones de quetzales de cada año**</t>
  </si>
  <si>
    <t>Clasificación de actividades de protección ambiental (CAPA***)</t>
  </si>
  <si>
    <t>Clasificación de gestión de recursos naturales (CGRN***)</t>
  </si>
  <si>
    <t xml:space="preserve">   Otras actividades</t>
  </si>
  <si>
    <t xml:space="preserve">   Flora y fauna natural</t>
  </si>
  <si>
    <t>Porcentaje de participación en el presupuesto del Estado</t>
  </si>
  <si>
    <t>*CAPA: clasificación de actividades de protección ambiental; CGRN: clasificación de actividades de gestión de los recursos naturales</t>
  </si>
  <si>
    <t xml:space="preserve">  Protección y descontaminación de los suelos, aguas  subterráneas y aguas superficiales                    </t>
  </si>
  <si>
    <t>* Precios de cada año</t>
  </si>
  <si>
    <t>Clasificación de actividades de protección ambiental ((CAPA**)</t>
  </si>
  <si>
    <t>Actividades de Protección Ambiental (CAPA**)</t>
  </si>
  <si>
    <t>Clasificación de Gestión de Recursos Naturales (CGRN**)</t>
  </si>
  <si>
    <t>Actividades de gestión de recursos naturales (CGRN**)</t>
  </si>
  <si>
    <t xml:space="preserve">Años 2001-2006 </t>
  </si>
  <si>
    <t>En porcentaje</t>
  </si>
  <si>
    <t>Cuenta Integrada de Gastos y Transacciones Ambientales: gasto ambiental per cápita del gobierno general</t>
  </si>
  <si>
    <t>Cuenta Integrada de Gastos y Transacciones Ambientales: estructura porcentual del gasto ambiental* del gobierno central por clasificaciones CAPA y  CGRN, según clasificación económica presupuestaria</t>
  </si>
  <si>
    <t>Cuenta Integrada de Gastos y Transacciones Ambientales: estructura porcentual del gasto ambiental* de la administración central del Gobierno de Guatemala,                                                                                                                          por clasificaciones CAPA y CGRN,  según clasificación económica presupuestaria</t>
  </si>
  <si>
    <t>Clasificaciones y clasificador</t>
  </si>
  <si>
    <t>Cuenta Integrada de Gastos y Transacciones Ambientales: estructura porcentual del gasto ambiental* del gobierno central                                   por clasificaciones CAPA y  CGRN</t>
  </si>
  <si>
    <t>Porcentaje de participación en el PIB</t>
  </si>
  <si>
    <t>Clasificación actividades de protección ambiental (CAPA**)</t>
  </si>
  <si>
    <t>Clasificación gestión de los recursos naturales (CGRN**)</t>
  </si>
  <si>
    <t>Clasificación de actividades de gestión de recursos naturales (CGRN**)</t>
  </si>
  <si>
    <t>Cuenta Integrada de Gastos y Transacciones Ambientales: gasto ambiental del gobierno general por clasificaciones CAPA Y CGRN, según clasificación económica presupuestaria</t>
  </si>
  <si>
    <t>Cuenta Integrada de Gastos y Transacciones Ambientales: gasto ambiental*  de la administración central de Gobierno como porcentaje del presupuesto general de egresos del Estado, según clasificación económica presupuestaria</t>
  </si>
  <si>
    <t>Cuenta Integrada de Gastos y Transacciones Ambientales: gasto ambiental*  de la administración central de Gobierno                                                                             como porcentaje del presupuesto general de egresos del Estado</t>
  </si>
  <si>
    <t>Cuenta Integrada de Gastos y Transacciones Ambientales: gasto ambiental* de la administración central de Gobierno como porcentaje del presupuesto general de egresos del Estado</t>
  </si>
  <si>
    <t>Cuenta Integrada de Gastos y Transacciones Ambientales: gasto ambiental* de la administración central del Gobierno                                                                        como porcentaje del PIB, según clasificaciones CAPA y CGRN</t>
  </si>
  <si>
    <t>Cuenta de Gastos y Transacciones Ambientales: gasto ambiental* de la administración central del Gobierno de Guatemala como porcentaje del Producto Interno Bruto (PIB),                                                                                                         por clasificaciones CAPA y CGRN, según clasificación económica presupuestaria</t>
  </si>
  <si>
    <t>Clasificación de actividades de protección ambiental (CAPA*)</t>
  </si>
  <si>
    <t>Clasificación de gestión de recursos naturales (CGRN*)</t>
  </si>
  <si>
    <t>Cuenta Integrada de Gastos y Transacciones Ambientales: gasto ambiental per cápita a partir de gastos                                                                     de la administración central de Gobierno</t>
  </si>
  <si>
    <t>Cuenta Integrada de Gastos y Transacciones Ambientales: gasto ambiental per cápita a partir de los gastos ambientales                                     de la administración central de Gobierno</t>
  </si>
  <si>
    <t xml:space="preserve">Cuenta Integrada de Gastos y Transacciones Ambientales: gasto ambiental* de la administración central del Gobierno                                          como porcentaje del Producto Interno bruto (PIB), según gastos CAPA y CGRN </t>
  </si>
  <si>
    <t>Clasificación de Gestión de Recursos Naturales (CGRN*)</t>
  </si>
  <si>
    <t>Clasificaciones</t>
  </si>
  <si>
    <t>Población de Guatemala</t>
  </si>
  <si>
    <t>Cuenta de gastos y transacciones ambientales: gasto ambiental ejecutado por la administración central del Gobierno de Guatemala por clasificación económica presupuestaria, según clasificaciones CAPA y  CGRN</t>
  </si>
  <si>
    <t xml:space="preserve">Cuadro 16 </t>
  </si>
  <si>
    <t>Cuadro 19</t>
  </si>
  <si>
    <t>Cuenta de Gastos y Transacciones Ambientales: gasto ambiental per cápita a partir de los gastos                                                                                     de la administración central del Gobierno de Guatemala, según clasificación económica presupuestaria</t>
  </si>
  <si>
    <t xml:space="preserve">Cuadro 30 </t>
  </si>
  <si>
    <t>Cuenta Integrada de Gastos y Transacciones Ambientales: comparación entre países del gasto ambiental per cápita</t>
  </si>
  <si>
    <t xml:space="preserve">Cuenta Integrada de Gastos y Transacciones Ambientales: comparación entre países del gasto ambiental per cápita, según gasto corriente y de capital </t>
  </si>
  <si>
    <r>
      <t>Fuente</t>
    </r>
    <r>
      <rPr>
        <sz val="10"/>
        <rFont val="Arial Narrow"/>
        <family val="2"/>
      </rPr>
      <t>: Basado en informes de gastos ambientales de Colombia, Costa Rica y México y Serie 2001-2006 de la Cuenta Integrada de Gastos y Transacciones Ambientales (CIGTA), Convenio Marco de Cooperación URL-BANGUAT.</t>
    </r>
  </si>
  <si>
    <t>Cuadro 36</t>
  </si>
  <si>
    <t>Cuadro37</t>
  </si>
  <si>
    <t>Cuadro 38</t>
  </si>
  <si>
    <t>Clasificación  de actividades de protección ambiental (CAPA**)</t>
  </si>
  <si>
    <t>CAPA**</t>
  </si>
  <si>
    <t>CGRN**</t>
  </si>
  <si>
    <t>Cuenta Integrada de Gastos y Transacciones Ambientales: estructura porcentual                                                              del gasto ambiental* de los gobiernos locales</t>
  </si>
  <si>
    <t>Cuenta Integrada de Gastos y Transacciones Ambientales: gasto ambiental* de  gobiernos locales como porcentaje del presupuesto general de egresos del Estado</t>
  </si>
  <si>
    <t>Actividades de protección ambiental (CAPA**)</t>
  </si>
  <si>
    <t>Cuadro 39</t>
  </si>
  <si>
    <t>Cuenta Integrada de Gastos y Transacciones Ambientales: gasto ambiental* de los gobiernos locales como porcentaje del presupuesto general de egresos</t>
  </si>
  <si>
    <t>Cuadro 40</t>
  </si>
  <si>
    <t>Cuenta Integrada de Gastos y Transacciones Ambientales: gasto ambiental* de los              gobiernos locales como porcentaje del PIB</t>
  </si>
  <si>
    <t>Cuenta Integrada de Gastos y Transacciones Ambientales: gasto ambiental* de los gobiernos locales como porcentaje del PIB</t>
  </si>
  <si>
    <t>Cuadro 41</t>
  </si>
  <si>
    <t>Cuadro42</t>
  </si>
  <si>
    <t>Secretarías y otras dependencias del Ejecutivo</t>
  </si>
  <si>
    <t xml:space="preserve">Fuente: Serie 2001-2006 de la Cuenta integrada de Gastos y Transacciones Ambientales (CIGTA), Convenio Marco de   Cooperación URL-BANGUAT </t>
  </si>
  <si>
    <t>Cuadro 43</t>
  </si>
  <si>
    <t>Cuadro 44</t>
  </si>
  <si>
    <t>Cuadro 9. Cuenta de gastos y transacciones ambientales: gasto ambiental ejecutado por la administración central del Gobierno de Guatemala,clasificación económica, millones quetzales cada año, sin agua y saneamiento</t>
  </si>
  <si>
    <t>Cuadro10.Cuenta de gastos y transacciones ambientales: gasto ambiental per cápita con base en gastos de la administración central del Gobierno de Guatemala, quetzales corrientes, sin agua y saneamiento</t>
  </si>
  <si>
    <t>Cuadro 11. Cuenta de gastos y transacciones ambientales: gasto ambiental per cápita con base en gastos de la administración central del Gobierno de Guatemala, quetzales de cada año, incluye agua y saneamiento</t>
  </si>
  <si>
    <t xml:space="preserve">Cuadro 12. Gasto ambiental de la administración central del gobierno de Guatemala por clasificaciones CAPA y CGRN, millones de quetzales constantes, sin agua y saneamiento </t>
  </si>
  <si>
    <t>Cuadro 13 Gasto ambiental de la administración central del Gobierno de Guatemala por clasificaciones CAPA y CGRN, millones de quetzales constantes, con agua y saneamiento</t>
  </si>
  <si>
    <t xml:space="preserve">Cuadro 14.  Gastos ambientales del gobierno general por clasificaciones CAPA y CGRN, millones de quetzales corrientes, sin agua y saneamiento </t>
  </si>
  <si>
    <t xml:space="preserve">Cuadro 15. Gastos ambientales del gobierno general por clasificaciones CAPA y CGRN, millones de quetzales corrientes, con agua y saneamiento </t>
  </si>
  <si>
    <t>Cuenta Integrada de Gastos y Transacciones Ambientales: gasto ambiental del  gobierno general*                                                                                                                    por clasificaciones CAPA Y CGRN, según clasificación económica presupuestaria</t>
  </si>
  <si>
    <t>Cuadro 16. Gasto ambiental del gobierno central  como porcentaje del presupuesto general  de egresos, según clasificación económica presupuestaria, precios corrientes, sin agua y saneamiento</t>
  </si>
  <si>
    <t>Cuadro 17. Gasto ambiental del gobierno central  como porcentaje del presupuesto general  de egresos del Estado, según CAPA y CGRN, precios corrientes, sin agua y saneamiento</t>
  </si>
  <si>
    <t>Cuadro 18. Gasto ambiental del gobierno central  como porcentaje del presupuesto general  de egresos del Estado, según clasificación económica, precios corrientes, con agua y saneamiento</t>
  </si>
  <si>
    <t>Cuadro 19.Gasto ambiental de la administración central de gobierno  como porcentaje del presupuesto general  de egresos del Estado, precios corrientes, con agua y saneamiento</t>
  </si>
  <si>
    <t>Cuadro 20. Estructura porcentual del gasto ambiental de la administración central del Gobierno de Guatemala por clasificaciones CAPA y CGRN, precios corrientes, sin agua y saneamiento</t>
  </si>
  <si>
    <t>Cuadro 21. Estructura porcentual del gasto ambiental de la administración central del Gobierno de Guatemala por clasificaciones CAPA y CGRN, precios corrientes, sin agua y saneamiento</t>
  </si>
  <si>
    <t>Cuadro 22. Estructura porcentual del gasto ambiental del gobierno central por clasificaciones CAPA y CGRN, precios de cada año, con agua y saneamiento</t>
  </si>
  <si>
    <t>Cuadro 23. Estructura porcentual del gasto ambiental del gobierno central por clasificaciones CAPA y CGRN, precjios corrientes, con agua y saneamiento</t>
  </si>
  <si>
    <t xml:space="preserve">Cuadro 24. Gasto ambiental de la administración central del gobierno como porcentaje del PIB, precios de cada año, sin agua y saneamiento </t>
  </si>
  <si>
    <t xml:space="preserve">Cuadro 25. Gasto ambiental de la administración central del gobierno como porcentaje del PIB, por CAPA y CGRN, según clasificación económica, precios corrientes, sin agua y saneamiento </t>
  </si>
  <si>
    <t xml:space="preserve">Cuenta Integrada de Gastos y Transacciones Ambientales: gasto ambiental* de la administración central del Gobierno como porcentaje del Producto Interno bruto (PIB),                                                                                                             por gastos CAPA y CGRN, según clasificación eocnómica presupuestaria </t>
  </si>
  <si>
    <t xml:space="preserve">Cuadro 26. Gasto ambiental de la administración central del gobierno como porcentaje del PIB, precios corrientes, sin agua y saneamiento </t>
  </si>
  <si>
    <t xml:space="preserve">Cuadro 27. Gasto ambiental de la administración central del gobierno como porcentaje del PIB, precios corrientes, con agua y saneamiento </t>
  </si>
  <si>
    <t>Cuadro 28. Gasto ambiental per cápita del gobierno general. Precios de cada año, sin agua y saneamiento</t>
  </si>
  <si>
    <t>Cuadro 29. Gasto ambiental per cápita del gobierno general por actividades CAPA y CGRN, precios de cada año, con agua y saneamiento</t>
  </si>
  <si>
    <t>Cuadro 30. Cuenta de gastos y transacciones ambientales: gasto ambiental per cápita con base en gastos de la administración central del Gobierno de Guatemala, según clasificación económica, quetzales corrientes, sin agua y saneamiento</t>
  </si>
  <si>
    <t>Cuadro 31. Gasto ambiental per cápita a partir de gastos ambientales de administración central, quetzales constantes, sin agua y saneamiento</t>
  </si>
  <si>
    <t>Cuenta de Gastos y Transacciones Ambientales: gasto ambiental per cápita a partir de los gastos                                                                                      de la administración central del Gobierno de Guatemala, según clasificación económica presupuestaria</t>
  </si>
  <si>
    <t>Cuadro 32. Cuenta de gastos y transacciones ambientales: gasto ambiental per cápita con base en gastos de la administración central del Gobierno de Guatemala, según clasificación económica, quetzales de cada año, incluye agua y saneamiento</t>
  </si>
  <si>
    <t xml:space="preserve">Cuadro 33. Gasto ambiental per cápita a partir de gastos de la administración central de gobierno, quetzales constantes, con agua y saneamiento </t>
  </si>
  <si>
    <t xml:space="preserve">Cuadro 34. Comparación entre países del gasto ambiental per cápita, en US$ </t>
  </si>
  <si>
    <t xml:space="preserve">Cuadro 35. Comparación entre países del gasto ambiental per cápita, según gasto corriente y de capital, en US$ </t>
  </si>
  <si>
    <t>Cuadro 36. Estructura porcentual de gasto ambiental de los gobiernos locales, precios de cada año, sin agua y saneamiento</t>
  </si>
  <si>
    <t>Cuadro 37. Estructura porcentual de gasto ambiental de los gobiernos locales, precios de cada año, con agua y saneamiento</t>
  </si>
  <si>
    <t>Cuadro 38. Gasto ambiental del Gobierno local como porcentaje del presupuesto general  de egresos del Estado, precios de cada año, sin agua y saneamiento</t>
  </si>
  <si>
    <t>Cuadro 39. Gasto ambiental de los gobiernos locales como porcentaje del presupuesto general  de egresos del Estado, precios de cada año, con agua y saneamiento</t>
  </si>
  <si>
    <t>Cuadro 4.24. Gasto ambiental de los gobiernos locales como porcentaje del presupuesto general  de egresos del Estado, precios de cada año, con agua y saneamiento</t>
  </si>
  <si>
    <t>Cuadro 40. Gasto ambiental de los gobiernos locales como porcentaje del PIB, precios de cada año, sin agua y saneamiento</t>
  </si>
  <si>
    <t>Cuadro 41. Gasto ambiental de los gobiernos locales como porcentaje del PIB, precios de cada año, con agua y saneamiento</t>
  </si>
  <si>
    <t>Cuadro 44. Porcentaje del presupuesto asignado a entidades destinado a actividades de medio ambiente o recursos naturales</t>
  </si>
  <si>
    <t>Cuadro 45. Referencias generales de la Cuenta Integrada de Gastos y Transacciones Ambientales</t>
  </si>
  <si>
    <t xml:space="preserve">Cuenta Integrada de Gastos y Transacciones Ambientales: porcentaje del presupuesto ambiental de cada entidad central   (protección ambiental y recursos naturales) respecto al presupuesto total  de cada una de ellas                        </t>
  </si>
  <si>
    <t>Cuenta Integrada de Gastos y Transacciones Ambientales:porcentaje del presupuesto asignado a entidades centrales destinado a actividades de medio ambiente o recursos naturales</t>
  </si>
  <si>
    <t>Impuestos</t>
  </si>
  <si>
    <t>Impuestos sobre productos industriales y primarios</t>
  </si>
  <si>
    <t>Impuesto a la distribución de gasolina superior</t>
  </si>
  <si>
    <t>Impuesto a la distribución de gasolina regular</t>
  </si>
  <si>
    <t>Impuesto a la distribución de otros combustibles derivados del petróleo</t>
  </si>
  <si>
    <t xml:space="preserve">Impuesto a la distribución de gasolina de aviación </t>
  </si>
  <si>
    <t>Impuesto a la distribución de gas oil</t>
  </si>
  <si>
    <t>Impuesto a la distribución de kerosina</t>
  </si>
  <si>
    <t>Impuesto a la distribución de nafta</t>
  </si>
  <si>
    <t>Impuesto a la distribución del fuel oil</t>
  </si>
  <si>
    <t>Impuesto a la distribución de gas licuado petróleo a granel</t>
  </si>
  <si>
    <t>Impuesto a la distribución de gas licuado petróleo carburación</t>
  </si>
  <si>
    <t>Impuesto a la distribución de petróleo crudo para combustibles</t>
  </si>
  <si>
    <t>Cantera y explotaciones mineras</t>
  </si>
  <si>
    <t>Sobre explotaciones mineras</t>
  </si>
  <si>
    <t>Regalías explotación petrolera</t>
  </si>
  <si>
    <t>Participación estatal en la producción de hidrocarburos</t>
  </si>
  <si>
    <t>Impuestos sobre circulación de vehículos</t>
  </si>
  <si>
    <t>Impuesto sobre circulación de vehículos terrestres</t>
  </si>
  <si>
    <t>Impuesto municipal sobre circulación de vehículos terrestres</t>
  </si>
  <si>
    <t>Impuesto sobre circulación de vehículos marítimos</t>
  </si>
  <si>
    <t>Impuesto sobre circulación de vehículos aéreos</t>
  </si>
  <si>
    <t>Tasas y tarifas</t>
  </si>
  <si>
    <t>Venta de servicios</t>
  </si>
  <si>
    <t>Licencia para roza</t>
  </si>
  <si>
    <t>Tasas y licencias varias</t>
  </si>
  <si>
    <t>Acceso a la pesca</t>
  </si>
  <si>
    <t>Tasas sobre la industria</t>
  </si>
  <si>
    <t>Tasa de producción de alcoholes carburantes</t>
  </si>
  <si>
    <t>Canon de superficie de Ministerio de Energía y Minas</t>
  </si>
  <si>
    <t>Derecho de canon Ministerio de Energía y Minas</t>
  </si>
  <si>
    <t>Otras tasas</t>
  </si>
  <si>
    <t>Cargos anuales por hectárea Ministerio de Energía y Minas</t>
  </si>
  <si>
    <t>Multas</t>
  </si>
  <si>
    <t>Multas por infracciones ambientales</t>
  </si>
  <si>
    <t>Derechos de propiedad</t>
  </si>
  <si>
    <t>Arrendamiento de tierras y terrenos</t>
  </si>
  <si>
    <t xml:space="preserve">Areas de reserva territorial del Estado </t>
  </si>
  <si>
    <t>(en quetzales de cada año)</t>
  </si>
  <si>
    <t>Total transacciones ambientales</t>
  </si>
  <si>
    <t>Cuadro45</t>
  </si>
  <si>
    <t>Transacción ambiental</t>
  </si>
  <si>
    <t>Regalías</t>
  </si>
  <si>
    <t>Arbitrio municipal</t>
  </si>
  <si>
    <t>Venta de bienes</t>
  </si>
  <si>
    <t>Ingresos de operación</t>
  </si>
  <si>
    <t>Transferencias corrientes y de capital</t>
  </si>
  <si>
    <t xml:space="preserve">Transferencias corrientes  </t>
  </si>
  <si>
    <t>Transferencias de capital</t>
  </si>
  <si>
    <t>Gasto no ambiental</t>
  </si>
  <si>
    <t>Total ejecución de ingresos</t>
  </si>
  <si>
    <t>Cuadro 46</t>
  </si>
  <si>
    <t>(Quetzales de cada año)</t>
  </si>
  <si>
    <t>(Quetzales constantes de 2001)</t>
  </si>
  <si>
    <t xml:space="preserve">Transferencias corrientes y de capital </t>
  </si>
  <si>
    <t>Yeso</t>
  </si>
  <si>
    <t>Mármol</t>
  </si>
  <si>
    <t>Jade</t>
  </si>
  <si>
    <t>Níquel</t>
  </si>
  <si>
    <t>Manganeso</t>
  </si>
  <si>
    <t>Arena de mina</t>
  </si>
  <si>
    <t>Arena de río</t>
  </si>
  <si>
    <t>Material selecto</t>
  </si>
  <si>
    <t>Extracción de petróleo</t>
  </si>
  <si>
    <t>Explotación minera otros</t>
  </si>
  <si>
    <t>Vulcanizadoras</t>
  </si>
  <si>
    <t>Beneficios de arroz</t>
  </si>
  <si>
    <t>Beneficios de café</t>
  </si>
  <si>
    <t>Curtiembres de cuero</t>
  </si>
  <si>
    <t>Fábricas de acumuladores</t>
  </si>
  <si>
    <t>Fábrica de aguas gaseosas</t>
  </si>
  <si>
    <t>Tenerías</t>
  </si>
  <si>
    <t>Extracción de cal</t>
  </si>
  <si>
    <t>Extracción de arena amarilla</t>
  </si>
  <si>
    <t>Extracción de arena blanca</t>
  </si>
  <si>
    <t>Extracción de arena de río</t>
  </si>
  <si>
    <t>Extracción de piedra de río</t>
  </si>
  <si>
    <t>Extracción de grava</t>
  </si>
  <si>
    <t>Extracción de piedrín</t>
  </si>
  <si>
    <t>Extracción de material selecto</t>
  </si>
  <si>
    <t>Extracción de broza mineral</t>
  </si>
  <si>
    <t>Extracción de níquel</t>
  </si>
  <si>
    <t>Extracción de manganeso</t>
  </si>
  <si>
    <t>Extracción de yeso</t>
  </si>
  <si>
    <t>Extracción de caolín</t>
  </si>
  <si>
    <t>Extracción de mármol</t>
  </si>
  <si>
    <t>Extracción de jade</t>
  </si>
  <si>
    <t>Extracción de arena de mina</t>
  </si>
  <si>
    <t>Extracción otros productos primarios minerales</t>
  </si>
  <si>
    <t>Extracción de madera rolliza</t>
  </si>
  <si>
    <t>Extracción de leña y ocote</t>
  </si>
  <si>
    <t>Extracción de mariscos</t>
  </si>
  <si>
    <t>Extracción de pescado</t>
  </si>
  <si>
    <t>Extracción de miel de caña</t>
  </si>
  <si>
    <t>Fumigadoras</t>
  </si>
  <si>
    <t xml:space="preserve">Transferencias corrientes </t>
  </si>
  <si>
    <t>Venta de madera</t>
  </si>
  <si>
    <t>Venta de leña</t>
  </si>
  <si>
    <t>Venta de carbón</t>
  </si>
  <si>
    <t>Venta de agua potable para tanque</t>
  </si>
  <si>
    <t>Tala de árboles</t>
  </si>
  <si>
    <t>Dotación de agua</t>
  </si>
  <si>
    <t>Energía de agua</t>
  </si>
  <si>
    <t>Canon de agua</t>
  </si>
  <si>
    <t>Exceso de agua</t>
  </si>
  <si>
    <t>Servicio de drenaje</t>
  </si>
  <si>
    <t>Servicio de limpieza</t>
  </si>
  <si>
    <t>Extracción de ripio y basura</t>
  </si>
  <si>
    <t>Canon de agua empresas</t>
  </si>
  <si>
    <t>Porcentaje forestal INAB de madera</t>
  </si>
  <si>
    <t>Incentivos forestales</t>
  </si>
  <si>
    <t>Proyecto UICN-Lachuá</t>
  </si>
  <si>
    <t xml:space="preserve">Cuenta de Gastos y Transacciones Ambientales: transacciones ambientales desagregadas de los gobierno locales </t>
  </si>
  <si>
    <t>Fábrica de hilados y tejidos</t>
  </si>
  <si>
    <t>Fábrica de telas típicas</t>
  </si>
  <si>
    <t>Ingreso Parque Nacional Tikal</t>
  </si>
  <si>
    <t>Cuenta Integrada de Gastos y Transacciones Ambientales: transacciones ambientales agregadas de los gobierno locales (municipales)</t>
  </si>
  <si>
    <t>Cuadro 47</t>
  </si>
  <si>
    <t>Cuadro 49</t>
  </si>
  <si>
    <t>Años 2004 - 2006</t>
  </si>
  <si>
    <t>Total impuestos</t>
  </si>
  <si>
    <t>Total tasas y tarifas</t>
  </si>
  <si>
    <t>Arrendamiento de tierras y terenos</t>
  </si>
  <si>
    <t>Total derechos de propiedad</t>
  </si>
  <si>
    <t>Total transacciones no ambientales</t>
  </si>
  <si>
    <t>Cuenta Integrada de Gastos y Transacciones Ambientales: Transacciones ambientales agregadas                   del Gobierno Central</t>
  </si>
  <si>
    <t>Cuadro 45. transacciones ambientales desagregadas del gobierno central, quetzales de cada año</t>
  </si>
  <si>
    <t>Cuadro 46. transacciones ambientales desagregadas de los gobiernos locales, quetzales de cada año</t>
  </si>
  <si>
    <t>Cuadro 47. transacciones ambientales desagregadas del gobierno central, quetzales de 2001</t>
  </si>
  <si>
    <t>Cuadro 47. Transacciones ambientales agregadas de los gobiernos locales (municipales), quetzales de cada año</t>
  </si>
  <si>
    <t xml:space="preserve">Cuenta Integrada de Gastos y Transacciones Ambientales: transacciones ambientales agregadas de los gobiernos locales </t>
  </si>
  <si>
    <t>Cuenta de gastos y transacciones ambientales: transacciones ambientales desagregadas del Gobierno Central</t>
  </si>
  <si>
    <t>Cuadro 49. Transacciones ambientales agregadas de gobiernos locales, a precios constantes</t>
  </si>
  <si>
    <t>Guatemala, Mayo de 2009</t>
  </si>
  <si>
    <t>Coordinación General</t>
  </si>
  <si>
    <t>Juventino Gálvez</t>
  </si>
  <si>
    <t>Analista principal del SCAEI</t>
  </si>
  <si>
    <t>Juan Pablo Castañeda</t>
  </si>
  <si>
    <t>Analistas específicos del SCAEI</t>
  </si>
  <si>
    <t>Bosques: Edwin Rolando García</t>
  </si>
  <si>
    <t>Agua: José Miguel Barrios y Jaime Luis Carrera</t>
  </si>
  <si>
    <t>Gastos de protección: Ana Paola Franco y José Fidel García</t>
  </si>
  <si>
    <t>Recursos del subsuelo: José Hugo Valle</t>
  </si>
  <si>
    <t>Hidrobiológicos: Mario Roberto Jolón y María</t>
  </si>
  <si>
    <t>Mercedes López-Selva</t>
  </si>
  <si>
    <t>Energía: Renato Vargas</t>
  </si>
  <si>
    <t>Especialistas</t>
  </si>
  <si>
    <t>Recursos naturales: Juventino Gálvez</t>
  </si>
  <si>
    <t>Estadística: Pedro Pineda</t>
  </si>
  <si>
    <t>Economía ambiental: Ottoniel Monterroso</t>
  </si>
  <si>
    <t>Macroeconomía: Fernando Rivera</t>
  </si>
  <si>
    <t>Sistemas de información: Gerónimo Pérez y Alejandro Gándara</t>
  </si>
  <si>
    <t>Cuadros de Salida</t>
  </si>
  <si>
    <t>Gobierno Local - Gobierno Central - Gobierno General</t>
  </si>
  <si>
    <t>Cuenta de Gastos y Transacciones Ambientales: gasto ambiental per cápita con base en gastos  de la administración central del Gobierno de Guatemala</t>
  </si>
  <si>
    <t>Cuenta Integrada de Gastos y Transacciones Ambientales: estructura porcentual del gasto ambiental* de la administración central del Gobierno de Guatemala, por clasificaciones CAPA y CGRN</t>
  </si>
  <si>
    <t>Cuenta Integrada de Gastos y Transacciones Ambientales: estructura porcentual del gasto ambiental* de los gobiernos locales</t>
  </si>
  <si>
    <t>Compendio de cuadros</t>
  </si>
  <si>
    <t>Cuadro  1.1 Gasto ambiental de gobiernos locales (municipales) por clasificaciones CAPA y CGRN, millones de quetzales corrientes, sin agua y saneamiento</t>
  </si>
  <si>
    <t xml:space="preserve">Cuadro  1.2 Gasto ambiental de gobiernos locales (municipales) por clasificaciones CAPA y CGRN, millones de quetzales corrientes, con agua y saneamiento </t>
  </si>
  <si>
    <t>Cuadro  1.3 Gasto ambiental de gobiernos locales (municipales), por clasificaciones CAPA y CGRN, millones de quetzales constantes, sin agua y saneamiento</t>
  </si>
  <si>
    <t xml:space="preserve">Cuadro  1.4 Gasto ambiental de gobiernos locales por clasificaciones CAPA y CGRN, millones de quetzales constantes, con agua y saneamiento </t>
  </si>
  <si>
    <t>Cuadro  2.1 Gasto ambiental de la administración central del Gobierno de Guatemala por clasificaciones CAPA y CGRN, millones de quetzales corrientes, sin agua y saneamiento</t>
  </si>
  <si>
    <t>Cuadro  2.2 Gasto ambiental de la adnimistración central del Gobierno de Guatemala por clasificaciones CAPA y CGRN, millones de quetzales corrientes, con agua y saneamiento</t>
  </si>
  <si>
    <t>Cuadro  2.3 Gasto ambiental ejecutado por la administración central del Gobierno de Guatemala por clasificación económica presupuestaria, según clasificación CAPA y CGRN, millones de quetzales corrientes, sin agua y saneamiento</t>
  </si>
  <si>
    <t>Cuadro  2.4 Gasto ambiental ejecutado por la administración central del Gobierno de Guatemala por clasificación económica presupuestaria, según clasificación CAPA y CGRN, millones de quetzales corrientes, con agua y saneamiento</t>
  </si>
  <si>
    <t>Cuadro  2.5 Gasto ambiental per cápita con base en gastos de la administración central del Gobierno de Guatemala, quetzales corrientes, sin agua y saneamiento</t>
  </si>
  <si>
    <t>Cuadro  2.6 Gasto ambiental per cápita con base en gastos de la administración central del Gobierno de Guatemala, quetzales constantes, sin agua y saneamiento</t>
  </si>
  <si>
    <t xml:space="preserve">Cuadro  2.7 Gasto ambiental de la administración central del Gobierno de Guatemala por clasificaciones CAPA y CGRN, millones de quetzales constantes, sin agua y saneamiento </t>
  </si>
  <si>
    <t>Cuadro  2.8 Gasto ambiental de la administración central del Gobierno de Guatemala por clasificaciones CAPA y CGRN, millones de quetzales constantes, con agua y saneamiento</t>
  </si>
  <si>
    <t>Cuadro  3.1 Gasto ambiental del gobierno general de Guatemala por clasificaciones CAPA y CGRN, millones de quetzales corrientes, sin agua y saneamiento</t>
  </si>
  <si>
    <t>Cuadro  3.2 Gasto ambiental del gobierno general de Guatemala por clasificaciones CAPA y CGRN, millones de quetzales corrientes, con agua y saneamiento</t>
  </si>
  <si>
    <t xml:space="preserve">Cuadro  4.1 Gasto ambiental de la administración central de Gobierno como porcentaje del presupuesto de gasto del Estado, porcentaje, sin agua y saneamiento, clasificación económica presupuestaria </t>
  </si>
  <si>
    <t xml:space="preserve">Cuadro  4.2 Gasto ambiental de la administración central de Gobierno como porcentaje del presupuesto de gasto del Estado, porcentaje, sin agua y saneamiento </t>
  </si>
  <si>
    <t xml:space="preserve">Cuadro  4.3 Gasto ambiental de la administración central de Gobierno como porcentaje del presupuesto de gasto del Estado, porcentaje, con agua y saneamiento, clasificación económica presupuestaria </t>
  </si>
  <si>
    <t xml:space="preserve">Cuadro  4.4 Gasto ambiental de la administración central de Gobierno como porcentaje del presupuesto de gasto del Estado, porcentaje, con agua y saneamiento </t>
  </si>
  <si>
    <t>Cuadro  4.5.  Estructura porcentual del gasto ambiental de la administración central del Gobierno de Guatemala por clasificaciones CAPA y CGRN, quetzales de cada año, sin agua y saneamiento</t>
  </si>
  <si>
    <t>Cuadro  4.6. Estructura porcentual del gasto ambiental de la administración central del Gobierno de Guatemala por clasificaciones CAPA y CGRN, según clasificación económica, quetzales de cada año, sin agua y saneamiento</t>
  </si>
  <si>
    <t>Cuadro  4.7. Estructura porcentual del gasto ambiental del gobierno central por clasificaciones CAPA y CGRN, precios de cada año, con agua y saneamiento</t>
  </si>
  <si>
    <t>Cuadro  4.8. Estructura porcentual del gasto ambiental del gobierno central por clasificaciones CAPA y CGRN, según clasificación económica, precios corrientes, con agua y saneamiento</t>
  </si>
  <si>
    <t xml:space="preserve">Cuadro  4.9. Gasto ambiental de la administración central del gobierno como porcentaje del PIB, precios de cada año, sin agua y saneamiento </t>
  </si>
  <si>
    <t xml:space="preserve">Cuadro  4.10. Gasto ambiental de la administración central del gobierno como porcentaje del PIB, por CAPA y CGRN, según clasificación económica, precios corrientes, sin agua y saneamiento </t>
  </si>
  <si>
    <t xml:space="preserve">Cuadro  4.11. Gasto ambiental de la administración central del gobierno como porcentaje del PIB, precios corrientes, sin agua y saneamiento </t>
  </si>
  <si>
    <t xml:space="preserve">Cuadro  4.12. Gasto ambiental de la administración central del gobierno como porcentaje del PIB, precios corrientes, con agua y saneamiento </t>
  </si>
  <si>
    <t>Cuadro  4.13. Gasto ambiental per cápita del gobierno general, precios de cada año, sin agua y saneamiento</t>
  </si>
  <si>
    <t>Cuadro  4.14. Gasto ambiental per cápita del gobierno general por actividades CAPA y CGRN, precios de cada año, con agua y saneamiento</t>
  </si>
  <si>
    <t>Cuadro  4.15. Gasto ambiental per cápita con base en gastos de la administración central del Gobierno de Guatemala, según clasificación económica, quetzales corrientes, sin agua y saneamiento</t>
  </si>
  <si>
    <t>Cuadro  4.16. Gasto ambiental per cápita a partir de gastos ambientales de administración central, quetzales constantes, sin agua y saneamiento</t>
  </si>
  <si>
    <t>Cuadro  4.17. Gasto ambiental per cápita con base en gastos de la administración central del Gobierno de Guatemala, según clasificación económica, quetzales de cada año, incluye agua y saneamiento</t>
  </si>
  <si>
    <t xml:space="preserve">Cuadro  4.18. Gasto ambiental per cápita, a partir de gastos de administración central de Gobierno, quetzales constantes, con agua y saneamiento </t>
  </si>
  <si>
    <t xml:space="preserve">Cuadro  4.19. Comparación entre países del gasto ambiental per cápita, en US$ </t>
  </si>
  <si>
    <t xml:space="preserve">Cuadro  4.20. Comparación entre países del gasto ambiental per cápita, según gasto corriente y de capital, en US$ </t>
  </si>
  <si>
    <t>Cuadro  4.21. Estructura porcentual de gasto ambiental de los gobiernos locales, precios de cada año, sin agua y saneamiento</t>
  </si>
  <si>
    <t>Cuadro  4.22. Estructura porcentual de gasto ambiental de los gobiernos locales, precios de cada año, con agua y saneamiento</t>
  </si>
  <si>
    <t>Cuadro  4.23. Gasto ambiental del Gobierno local como porcentaje del presupuesto general  de egresos del Estado, precios de cada año, sin agua y saneamiento</t>
  </si>
  <si>
    <t>Cuadro  4.25. Gasto ambiental de los gobiernos locales como porcentaje del PIB, precios de cada año, sin agua y saneamiento</t>
  </si>
  <si>
    <t>Cuadro  4.26. Gasto ambiental de los gobiernos locales como porcentaje del PIB, precios de cada año, con agua y saneamiento</t>
  </si>
  <si>
    <t>Cuadro  5.1. Estructura porcentual del gasto ambiental institucional total en actividades o programas de medio ambiente o recursos naturales, precios de cada año, con agua y saneamiento</t>
  </si>
  <si>
    <t>Cuadro  5.2. Porcentaje del presupuesto ambiental de cada entidad respectoa l presupuesto total de cada una de ellas, precios de cada año, sin agua y saneamiento</t>
  </si>
  <si>
    <t>Cuadro  5.3. Porcentaje del presupuesto asignado a entidades destinado a actividades de medio ambiente o recursos naturales</t>
  </si>
  <si>
    <t>Cuadro  6.1. Transacciones ambientales desagregadas del Gobierno Central, quetzales de cada año</t>
  </si>
  <si>
    <t>Cuadro  6.2. Transacciones ambientales desagregadas de los gobierno locales (municipales), quetzales corrientes</t>
  </si>
  <si>
    <t>Cuadro  6.3. Transacciones ambientales agregadas del Gobierno Central, quetzales constantes de 2001</t>
  </si>
  <si>
    <t>Cuadro  6.4. Transacciones ambientales agregadas de los gobiernos municipales, quetzales de cada año</t>
  </si>
  <si>
    <t>Cuadro  6.5. Transacciones ambientales agregadas de los gobiernos municipales, quetzales de 2001</t>
  </si>
  <si>
    <t>Cuadro  7.1. Referencias generales de la Cuenta Integrada de Gastos y Transacciones Ambientales</t>
  </si>
  <si>
    <t>Cuadro  7.2. Glosario de la Cuenta Integrada de Gastos y Transacciones Ambientales</t>
  </si>
  <si>
    <t>Cuenta Integrada de Gastos y Transacciones Ambientales (CIGTA). Periodo 2001-2006</t>
  </si>
  <si>
    <r>
      <t xml:space="preserve">Cuenta Integrada de Gastos y Transacciones Ambientales (CIGTA): gasto ambiental de gobiernos locales </t>
    </r>
    <r>
      <rPr>
        <b/>
        <vertAlign val="superscript"/>
        <sz val="10"/>
        <rFont val="Arial Narrow"/>
        <family val="2"/>
      </rPr>
      <t>a/</t>
    </r>
    <r>
      <rPr>
        <b/>
        <sz val="10"/>
        <rFont val="Arial Narrow"/>
        <family val="2"/>
      </rPr>
      <t xml:space="preserve"> (municipales) por clasificaciones CAPA y CGRN</t>
    </r>
  </si>
  <si>
    <t>* Por razones de redondeo algunas cifras pueden variar.</t>
  </si>
  <si>
    <t>**CAPA: clasificación de actividades de protección ambiental; CGRN: clasificación de actividades de gestión de los recursos naturales.</t>
  </si>
  <si>
    <r>
      <rPr>
        <vertAlign val="superscript"/>
        <sz val="10"/>
        <rFont val="Arial Narrow"/>
        <family val="2"/>
      </rPr>
      <t>a/</t>
    </r>
    <r>
      <rPr>
        <sz val="10"/>
        <rFont val="Arial Narrow"/>
        <family val="2"/>
      </rPr>
      <t xml:space="preserve"> Incluye a 35 municipalidades en 2005 y a 120 municipalidades en 2006.</t>
    </r>
  </si>
  <si>
    <r>
      <rPr>
        <vertAlign val="superscript"/>
        <sz val="10"/>
        <rFont val="Arial Narrow"/>
        <family val="2"/>
      </rPr>
      <t>b/</t>
    </r>
    <r>
      <rPr>
        <sz val="10"/>
        <rFont val="Arial Narrow"/>
        <family val="2"/>
      </rPr>
      <t xml:space="preserve"> Se refiere al presupuesto de gastos ejecutado.</t>
    </r>
  </si>
  <si>
    <t xml:space="preserve">Fuente: Serie 2001-2006 de la Cuenta integrada de Gastos y Transacciones Ambientales (CIGTA), INE. </t>
  </si>
  <si>
    <r>
      <rPr>
        <b/>
        <sz val="10"/>
        <color theme="1"/>
        <rFont val="Arial Narrow"/>
        <family val="2"/>
      </rPr>
      <t>Fuente:</t>
    </r>
    <r>
      <rPr>
        <sz val="10"/>
        <color theme="1"/>
        <rFont val="Arial Narrow"/>
        <family val="2"/>
      </rPr>
      <t xml:space="preserve"> Serie 2001-2006 de la Cuenta integrada de Gastos y Transacciones Ambientales (CIGTA), Convenio Marco de   Cooperación URL-BANGUAT </t>
    </r>
  </si>
  <si>
    <r>
      <rPr>
        <b/>
        <sz val="10"/>
        <color theme="1"/>
        <rFont val="Arial Narrow"/>
        <family val="2"/>
      </rPr>
      <t xml:space="preserve">Fuente: </t>
    </r>
    <r>
      <rPr>
        <sz val="10"/>
        <color theme="1"/>
        <rFont val="Arial Narrow"/>
        <family val="2"/>
      </rPr>
      <t xml:space="preserve">Serie 2001-2006 de la Cuenta integrada de Gastos y Transacciones Ambientales (CIGTA), Convenio Marco de   Cooperación URL-BANGUAT </t>
    </r>
  </si>
  <si>
    <t>Clasificación</t>
  </si>
  <si>
    <t>Total  CAPA</t>
  </si>
  <si>
    <t>Total  CGRN</t>
  </si>
  <si>
    <t>Total  gasto ambiental</t>
  </si>
  <si>
    <t xml:space="preserve">Total  </t>
  </si>
  <si>
    <t>Total  gasto ambiental de administración central de gobierno</t>
  </si>
  <si>
    <t xml:space="preserve">Total  gasto ambiental de la administración central de gobierno </t>
  </si>
  <si>
    <t>Total  gasto ambiental*</t>
  </si>
  <si>
    <t>Total  gasto ambiental corriente</t>
  </si>
  <si>
    <t>Total  gasto ambiental de capital</t>
  </si>
  <si>
    <t>Total  gasto ambiental de la administración central (CAPA+CGRN)**</t>
  </si>
  <si>
    <t>Total  gasto ambiental corriente (CAPA+CGRN)</t>
  </si>
  <si>
    <t>Total  gasto ambiental de capital (CAPA+CGRN)</t>
  </si>
  <si>
    <t>Total  gasto ambiental del gobierno central</t>
  </si>
  <si>
    <t>Total  2006</t>
  </si>
  <si>
    <t xml:space="preserve">Total  gasto ambiental </t>
  </si>
  <si>
    <t>Total  gasto ambiental per cápita</t>
  </si>
  <si>
    <t>Total  general</t>
  </si>
  <si>
    <t>Total  GRN</t>
  </si>
  <si>
    <t>Total  del gasto ambiental</t>
  </si>
  <si>
    <t xml:space="preserve">Gasto ambiental Total </t>
  </si>
  <si>
    <t>Cuadro 42. Estructura porcentual del gasto ambiental institucional Total  en actividades o programas de medio ambiente o recursos naturales, precios de cada año, con agua y saneamiento</t>
  </si>
  <si>
    <t>Total  porcentaje presupuesto ambiental asignado a Total  de entidades</t>
  </si>
  <si>
    <t>Cuadro 43. Porcentaje del presupuesto ambiental de cada entidad respectoa l presupuesto Total  de cada una de ellas, precios de cada año, sin agua y saneamiento</t>
  </si>
  <si>
    <t>Total  transacciones ambientales</t>
  </si>
  <si>
    <t>Actividad</t>
  </si>
  <si>
    <t xml:space="preserve">Clasificación   </t>
  </si>
  <si>
    <t>Gobierno local</t>
  </si>
  <si>
    <t xml:space="preserve">Clasificación  </t>
  </si>
  <si>
    <r>
      <t xml:space="preserve">Cuenta Integrada de Gastos y Transacciones Ambientales: gasto ambiental de gobiernos locales (municipales) </t>
    </r>
    <r>
      <rPr>
        <b/>
        <vertAlign val="superscript"/>
        <sz val="10"/>
        <color theme="1"/>
        <rFont val="Arial Narrow"/>
        <family val="2"/>
      </rPr>
      <t>a/</t>
    </r>
    <r>
      <rPr>
        <b/>
        <sz val="10"/>
        <color theme="1"/>
        <rFont val="Arial Narrow"/>
        <family val="2"/>
      </rPr>
      <t xml:space="preserve"> por clasificaciones CAPA y CGRN</t>
    </r>
  </si>
  <si>
    <t>Gestión de guas residuales</t>
  </si>
  <si>
    <r>
      <rPr>
        <vertAlign val="superscript"/>
        <sz val="10"/>
        <color theme="1"/>
        <rFont val="Arial Narrow"/>
        <family val="2"/>
      </rPr>
      <t>b/</t>
    </r>
    <r>
      <rPr>
        <sz val="10"/>
        <color theme="1"/>
        <rFont val="Arial Narrow"/>
        <family val="2"/>
      </rPr>
      <t xml:space="preserve"> Se refiere a presupuesfo de gastos ejecutado.</t>
    </r>
  </si>
  <si>
    <r>
      <rPr>
        <vertAlign val="superscript"/>
        <sz val="10"/>
        <color theme="1"/>
        <rFont val="Arial Narrow"/>
        <family val="2"/>
      </rPr>
      <t>a/</t>
    </r>
    <r>
      <rPr>
        <sz val="10"/>
        <color theme="1"/>
        <rFont val="Arial Narrow"/>
        <family val="2"/>
      </rPr>
      <t xml:space="preserve"> Incluye a 35 municipalidades en 2005 y a 120 municipalidades en 2006.</t>
    </r>
  </si>
  <si>
    <r>
      <t xml:space="preserve">   Total  gasto ambiental gobiernos locales </t>
    </r>
    <r>
      <rPr>
        <b/>
        <vertAlign val="superscript"/>
        <sz val="10"/>
        <rFont val="Arial Narrow"/>
        <family val="2"/>
      </rPr>
      <t>b/</t>
    </r>
  </si>
  <si>
    <r>
      <t xml:space="preserve">   Total  gasto ambiental Gobiernos locales </t>
    </r>
    <r>
      <rPr>
        <b/>
        <vertAlign val="superscript"/>
        <sz val="10"/>
        <color theme="1"/>
        <rFont val="Arial Narrow"/>
        <family val="2"/>
      </rPr>
      <t>b/</t>
    </r>
  </si>
  <si>
    <r>
      <t xml:space="preserve">Cuenta Integrada de Gastos y Transacciones Ambientales: gasto ambiental de gobiernos locales </t>
    </r>
    <r>
      <rPr>
        <b/>
        <vertAlign val="superscript"/>
        <sz val="10"/>
        <color theme="1"/>
        <rFont val="Arial Narrow"/>
        <family val="2"/>
      </rPr>
      <t xml:space="preserve">a/ </t>
    </r>
    <r>
      <rPr>
        <b/>
        <sz val="10"/>
        <color theme="1"/>
        <rFont val="Arial Narrow"/>
        <family val="2"/>
      </rPr>
      <t>(municipales) por clasificaciones CAPA y CGRN</t>
    </r>
  </si>
  <si>
    <r>
      <t xml:space="preserve">Total  gasto ambiental gobiernos locales </t>
    </r>
    <r>
      <rPr>
        <b/>
        <vertAlign val="superscript"/>
        <sz val="10"/>
        <color theme="1"/>
        <rFont val="Arial Narrow"/>
        <family val="2"/>
      </rPr>
      <t>b/</t>
    </r>
  </si>
  <si>
    <r>
      <t xml:space="preserve">Cuenta Integrada de Gastos y Transacciones Ambientales: gasto ambiental de gobiernos locales </t>
    </r>
    <r>
      <rPr>
        <b/>
        <vertAlign val="superscript"/>
        <sz val="10"/>
        <color theme="1"/>
        <rFont val="Arial Narrow"/>
        <family val="2"/>
      </rPr>
      <t>a/</t>
    </r>
    <r>
      <rPr>
        <b/>
        <sz val="10"/>
        <color theme="1"/>
        <rFont val="Arial Narrow"/>
        <family val="2"/>
      </rPr>
      <t xml:space="preserve"> (municipales) por clasificaciones CAPA y CGRN</t>
    </r>
  </si>
  <si>
    <t>Gestión de  residuos</t>
  </si>
  <si>
    <t>Gestión de aguas servidas</t>
  </si>
  <si>
    <t>*Precios de cada año</t>
  </si>
  <si>
    <t>Manejo de agua</t>
  </si>
  <si>
    <t>Cuenta Integrada de Gastos y Transacciones Ambientales: estructura porcentual del gasto ambiental institucional central respecto al presupuesto* ambiental institucional total  en actividades o programas de medio ambiente o recursos naturales</t>
  </si>
  <si>
    <t>Instituto Nacional de Bosques</t>
  </si>
  <si>
    <t>Programa de Incentivos Forestales (PINFOR)</t>
  </si>
  <si>
    <t>Impuesto a la distribución de diésel</t>
  </si>
  <si>
    <t>Licencias y formularios varios Consejo Nacional de Áreas Protegidas (CONAP)</t>
  </si>
  <si>
    <t>Extracción de sílice y feldespato</t>
  </si>
  <si>
    <t>Venta de árboles en pie</t>
  </si>
  <si>
    <t>Total de ejecución de ingresos</t>
  </si>
  <si>
    <t>Total transferencias corrientes y de capital</t>
  </si>
  <si>
    <t xml:space="preserve">Fuente: Serie 2001-2006 de la Cuenta integrada de Gastos y Transacciones Ambientales (CIGTA), Convenio Marco de  Cooperación URL-BANGUAT </t>
  </si>
  <si>
    <r>
      <t>Banco de Guatemala, Unidad de Estadística Ambiental. (2006).</t>
    </r>
    <r>
      <rPr>
        <i/>
        <sz val="10"/>
        <color indexed="8"/>
        <rFont val="Arial Narrow"/>
        <family val="2"/>
      </rPr>
      <t xml:space="preserve"> Guía metodológica para las cuentas de bosque. </t>
    </r>
    <r>
      <rPr>
        <sz val="10"/>
        <color indexed="8"/>
        <rFont val="Arial Narrow"/>
        <family val="2"/>
      </rPr>
      <t>Guatemala: Autor.</t>
    </r>
  </si>
  <si>
    <r>
      <t xml:space="preserve">Guatemala, Ministerio de Finanzas Públicas (1997). </t>
    </r>
    <r>
      <rPr>
        <i/>
        <sz val="10"/>
        <color indexed="8"/>
        <rFont val="Arial Narrow"/>
        <family val="2"/>
      </rPr>
      <t>Ley orgánica del presupuesto.</t>
    </r>
    <r>
      <rPr>
        <sz val="10"/>
        <color indexed="8"/>
        <rFont val="Arial Narrow"/>
        <family val="2"/>
      </rPr>
      <t xml:space="preserve"> Decreto No 101-97</t>
    </r>
    <r>
      <rPr>
        <i/>
        <sz val="10"/>
        <color indexed="8"/>
        <rFont val="Arial Narrow"/>
        <family val="2"/>
      </rPr>
      <t xml:space="preserve">. </t>
    </r>
    <r>
      <rPr>
        <sz val="10"/>
        <color indexed="8"/>
        <rFont val="Arial Narrow"/>
        <family val="2"/>
      </rPr>
      <t>Guatemala: Autor.</t>
    </r>
  </si>
  <si>
    <r>
      <t>Guatemala, Ministerio de Finanzas Públicas (1998</t>
    </r>
    <r>
      <rPr>
        <i/>
        <sz val="10"/>
        <color indexed="8"/>
        <rFont val="Arial Narrow"/>
        <family val="2"/>
      </rPr>
      <t xml:space="preserve">). Reglamento de la Ley Orgánica del Presupuesto. </t>
    </r>
    <r>
      <rPr>
        <sz val="10"/>
        <color indexed="8"/>
        <rFont val="Arial Narrow"/>
        <family val="2"/>
      </rPr>
      <t>Acuerdo Gubernativo No. 240-98. Reformado por el Acuerdo Gubernativo No. 433-2004</t>
    </r>
  </si>
  <si>
    <r>
      <t xml:space="preserve">Guatemala, Ministerio de Finanzas Públicas. (2005).  </t>
    </r>
    <r>
      <rPr>
        <i/>
        <sz val="10"/>
        <color indexed="8"/>
        <rFont val="Arial Narrow"/>
        <family val="2"/>
      </rPr>
      <t>Manual de clasificaciones presupuestarias para el sector público de Guatemala.</t>
    </r>
    <r>
      <rPr>
        <sz val="10"/>
        <color indexed="8"/>
        <rFont val="Arial Narrow"/>
        <family val="2"/>
      </rPr>
      <t xml:space="preserve"> (3ª ed.). Guatemala: Autor.</t>
    </r>
  </si>
  <si>
    <r>
      <t xml:space="preserve">Guatemala, Ministerio de Finanzas Públicas. (2005). </t>
    </r>
    <r>
      <rPr>
        <i/>
        <sz val="10"/>
        <color indexed="8"/>
        <rFont val="Arial Narrow"/>
        <family val="2"/>
      </rPr>
      <t xml:space="preserve">Manual de modificaciones presupuestaria para las entidades de la administración central </t>
    </r>
    <r>
      <rPr>
        <sz val="10"/>
        <color indexed="8"/>
        <rFont val="Arial Narrow"/>
        <family val="2"/>
      </rPr>
      <t>(1ª ed.). Guatemala: Autor.</t>
    </r>
  </si>
  <si>
    <r>
      <t xml:space="preserve">Guatemala, Ministerio de Finanzas Públicas. (2005). </t>
    </r>
    <r>
      <rPr>
        <i/>
        <sz val="10"/>
        <color indexed="8"/>
        <rFont val="Arial Narrow"/>
        <family val="2"/>
      </rPr>
      <t xml:space="preserve">Manual de formulación presupuestaria </t>
    </r>
    <r>
      <rPr>
        <sz val="10"/>
        <color indexed="8"/>
        <rFont val="Arial Narrow"/>
        <family val="2"/>
      </rPr>
      <t>(1ª ed.). Guatemala: Autor.</t>
    </r>
  </si>
  <si>
    <r>
      <t>Martínez Tuna, M.</t>
    </r>
    <r>
      <rPr>
        <b/>
        <sz val="10"/>
        <color indexed="8"/>
        <rFont val="Arial Narrow"/>
        <family val="2"/>
      </rPr>
      <t xml:space="preserve"> </t>
    </r>
    <r>
      <rPr>
        <sz val="10"/>
        <color indexed="8"/>
        <rFont val="Arial Narrow"/>
        <family val="2"/>
      </rPr>
      <t>(2003).</t>
    </r>
    <r>
      <rPr>
        <b/>
        <sz val="10"/>
        <color indexed="8"/>
        <rFont val="Arial Narrow"/>
        <family val="2"/>
      </rPr>
      <t xml:space="preserve"> </t>
    </r>
    <r>
      <rPr>
        <i/>
        <sz val="10"/>
        <color indexed="8"/>
        <rFont val="Arial Narrow"/>
        <family val="2"/>
      </rPr>
      <t>Diagnóstico de la inversión que el Estado hace en ambiente y manejo de recursos naturales</t>
    </r>
    <r>
      <rPr>
        <sz val="10"/>
        <color indexed="8"/>
        <rFont val="Arial Narrow"/>
        <family val="2"/>
      </rPr>
      <t>.  Guatemala: Instituto de Agricultura, Recursos Naturales y Ambiente de la Universidad Rafael Landívar</t>
    </r>
  </si>
  <si>
    <r>
      <t xml:space="preserve">Naciones Unidas. (2002). </t>
    </r>
    <r>
      <rPr>
        <i/>
        <sz val="10"/>
        <color indexed="8"/>
        <rFont val="Arial Narrow"/>
        <family val="2"/>
      </rPr>
      <t>Contabilidad ambiental y económica integrada.</t>
    </r>
    <r>
      <rPr>
        <sz val="10"/>
        <color indexed="8"/>
        <rFont val="Arial Narrow"/>
        <family val="2"/>
      </rPr>
      <t xml:space="preserve"> Nueva York: Autor.</t>
    </r>
  </si>
  <si>
    <r>
      <t xml:space="preserve">Naciones Unidas, </t>
    </r>
    <r>
      <rPr>
        <i/>
        <sz val="10"/>
        <color indexed="8"/>
        <rFont val="Arial Narrow"/>
        <family val="2"/>
      </rPr>
      <t xml:space="preserve">et al. </t>
    </r>
    <r>
      <rPr>
        <sz val="10"/>
        <color indexed="8"/>
        <rFont val="Arial Narrow"/>
        <family val="2"/>
      </rPr>
      <t xml:space="preserve">(1993). </t>
    </r>
    <r>
      <rPr>
        <i/>
        <sz val="10"/>
        <color indexed="8"/>
        <rFont val="Arial Narrow"/>
        <family val="2"/>
      </rPr>
      <t>Sistema de Cuentas Nacionales</t>
    </r>
    <r>
      <rPr>
        <sz val="10"/>
        <color indexed="8"/>
        <rFont val="Arial Narrow"/>
        <family val="2"/>
      </rPr>
      <t>. Nueva York: Autor.</t>
    </r>
  </si>
  <si>
    <r>
      <t>Instituto de Agricultura, Recursos Naturales y Ambiente de la Universidad Rafael Landívar. (2006).</t>
    </r>
    <r>
      <rPr>
        <b/>
        <sz val="10"/>
        <color indexed="8"/>
        <rFont val="Arial Narrow"/>
        <family val="2"/>
      </rPr>
      <t xml:space="preserve"> </t>
    </r>
    <r>
      <rPr>
        <i/>
        <sz val="10"/>
        <color indexed="8"/>
        <rFont val="Arial Narrow"/>
        <family val="2"/>
      </rPr>
      <t>Gastos de protección ambiental en Guatemala: una exploración inicial.</t>
    </r>
    <r>
      <rPr>
        <sz val="10"/>
        <color indexed="8"/>
        <rFont val="Arial Narrow"/>
        <family val="2"/>
      </rPr>
      <t xml:space="preserve"> Guatemala: Autor.</t>
    </r>
  </si>
  <si>
    <r>
      <t xml:space="preserve">Instituto de Agricultura, Recursos Naturales y Ambiente de la Universidad Rafael Landívar. (2006). </t>
    </r>
    <r>
      <rPr>
        <i/>
        <sz val="10"/>
        <color indexed="8"/>
        <rFont val="Arial Narrow"/>
        <family val="2"/>
      </rPr>
      <t>Guía básica para la edición de documentos producidos por el IARNA</t>
    </r>
    <r>
      <rPr>
        <sz val="10"/>
        <color indexed="8"/>
        <rFont val="Arial Narrow"/>
        <family val="2"/>
      </rPr>
      <t>. Guatemala: Autor.</t>
    </r>
  </si>
  <si>
    <r>
      <t xml:space="preserve">Chile, Ministerio de Hacienda. (2002).  </t>
    </r>
    <r>
      <rPr>
        <i/>
        <sz val="10"/>
        <color indexed="8"/>
        <rFont val="Arial Narrow"/>
        <family val="2"/>
      </rPr>
      <t>Manual Sistema de Control de Gestión y Presupuesto por Resultados. La experiencia Chilena.</t>
    </r>
    <r>
      <rPr>
        <sz val="10"/>
        <color indexed="8"/>
        <rFont val="Arial Narrow"/>
        <family val="2"/>
      </rPr>
      <t xml:space="preserve"> (1ª ed.).</t>
    </r>
  </si>
  <si>
    <r>
      <t xml:space="preserve">Merino, G y Tobar, R. (2003). </t>
    </r>
    <r>
      <rPr>
        <i/>
        <sz val="10"/>
        <color indexed="8"/>
        <rFont val="Arial Narrow"/>
        <family val="2"/>
      </rPr>
      <t>Diagnóstico del gasto, inversión y financiamiento para el desarrollo sostenible en México</t>
    </r>
    <r>
      <rPr>
        <sz val="10"/>
        <color indexed="8"/>
        <rFont val="Arial Narrow"/>
        <family val="2"/>
      </rPr>
      <t>. CEPAL/PNUD.</t>
    </r>
  </si>
  <si>
    <r>
      <t>de la Torre, Q. (2002).</t>
    </r>
    <r>
      <rPr>
        <i/>
        <sz val="10"/>
        <color indexed="8"/>
        <rFont val="Arial Narrow"/>
        <family val="2"/>
      </rPr>
      <t>Statistics New Zealand</t>
    </r>
    <r>
      <rPr>
        <sz val="10"/>
        <color indexed="8"/>
        <rFont val="Arial Narrow"/>
        <family val="2"/>
      </rPr>
      <t>. New Zealand.</t>
    </r>
  </si>
  <si>
    <t>Sitio web de la Oficina de Estadísticas de la Comunidad Europea. (2002). Europeahttp://epp.eurostat.ec.europa.eu/portal/</t>
  </si>
  <si>
    <t>Sitio web del Instituto Nacional de Estadística de España (2003): http://www.ine.es</t>
  </si>
  <si>
    <r>
      <t>Instituto Nacional de Bosques. (2007).</t>
    </r>
    <r>
      <rPr>
        <i/>
        <sz val="10"/>
        <rFont val="Arial Narrow"/>
        <family val="2"/>
      </rPr>
      <t xml:space="preserve"> Reglamento</t>
    </r>
    <r>
      <rPr>
        <sz val="10"/>
        <color indexed="8"/>
        <rFont val="Arial Narrow"/>
        <family val="2"/>
      </rPr>
      <t xml:space="preserve"> </t>
    </r>
    <r>
      <rPr>
        <i/>
        <sz val="10"/>
        <rFont val="Arial Narrow"/>
        <family val="2"/>
      </rPr>
      <t xml:space="preserve">del Programa de Incentivos Forestales [Resolución JD.01.01.]. </t>
    </r>
    <r>
      <rPr>
        <sz val="10"/>
        <rFont val="Arial Narrow"/>
        <family val="2"/>
      </rPr>
      <t>Guatemala: Autor, Junta Directiva.</t>
    </r>
  </si>
  <si>
    <t>Protección contra las radiaciones (excluida la seguridad exterior)</t>
  </si>
  <si>
    <t>Incremento de capital</t>
  </si>
  <si>
    <t>Presupuseto aprobado inicial</t>
  </si>
  <si>
    <t>Función dentro de un presupuesto</t>
  </si>
  <si>
    <t>Medio ambiente</t>
  </si>
  <si>
    <t>Por gestión de residuos se entiende aquellas actividades y medidas cuyo objetivo es prevenir la generación de residuos y reducir sus efectos perjudiciales para el medio ambiente. Se incluyen aquí la recogida y tratamiento de residuos, incluyendo las actividades normativas y de control. También el reciclaje y el compostaje, la recogida y tratamiento de residuos con bajo índice de radiactividad, la limpieza diaria y la recogida de residuos urbanos.</t>
  </si>
  <si>
    <t>Se refiere a todas aquellas actividades destinadas a programas de eficiencia energética, educación, entrenamiento y servicios de información, programas de eficiencia minera y otro tipo de actividad relacionada al manejo de recursos naturales.</t>
  </si>
  <si>
    <t>Se refiere a todas aquellas errogaciones realizadas en actividades no relacionadas al medio ambiente y al manejo de recursos naturales, contenidas dentro del presupuesto de alguna institución.</t>
  </si>
  <si>
    <t>Precios constantes</t>
  </si>
  <si>
    <t xml:space="preserve">Son aquellos cuya cuantificación se hace con relación a los precios que prevalecieron en un año determinado y que se están tomando como base para la comparación. Indicador que expresa el valor de las mercancías y servicios a precios de un año base. </t>
  </si>
  <si>
    <t>Incluye información relacionada con la protección de la biodiversidad y los paisajes, y el manejo forestal.</t>
  </si>
  <si>
    <t xml:space="preserve">Gestión de recursos naturales </t>
  </si>
  <si>
    <t>Clasificación de Actividades de Protección Ambiental  (CAPA)</t>
  </si>
  <si>
    <t>Se refiere al presupuesto general de egresos de Guatemala aprobado por en el organismo legislativo.</t>
  </si>
  <si>
    <t>Inversión real directa</t>
  </si>
  <si>
    <t>Son gastos que efectúa el Sector Público no empresarial en aportes de capital, y en adquisición de acciones u otros valores representativos de capital de empresas públicas, así como de instituciones nacionales e internacionales. Incluye la concesión de préstamos a corto y largo plazo, de carácter reintegrable otorgados en forma directa o mediante instrumentos de deuda que se acuerdan con instituciones del sector público, del sector externo y otras entidades. En todos los casos la realización de estos gastos responde a la consecución de objetivos de política y no lograr rentabilidad en la aplicación de excedentes financieros</t>
  </si>
  <si>
    <t>El SCAEI es el Sistema de Contabilidad Ambiental y Económica Integrada, su origen conceptual se encuentra en la necesidad de encontrar metodologías y procedimientos para calcular un producto sectorial (forestal, minero, pesquero, etc.) o nacional ajustado de acuerdo a la pérdida (o incremento) del capital natural. Así, descontando del PIB (indicador que mide la Producción Interna Bruta de un país en un periodo determinado, normalmente de un año)  alguna forma de medida de la descapitalización ambiental (en unidades monetarias) se podría obtener una primera aproximación al “PIB Verde”.</t>
  </si>
  <si>
    <t>Para la ejecución del presupuesto de egresos se considera comprometido un crédito presupuestario cuando en virtud de autoridad competente se dispone su utilización, debiendo en dicho acto quedar determinado el monto, la persona de quien se adquirirá el bien o servicio en caso de contraprestación, o el beneficio si el acto es sin contraprestación, para lo cual deberá afectarse preventivamente el crédito presupuestario en el monto que corresponda. (Artículo 12, Reglamento de la Ley Orgánica del Presupuesto, Acuerdo Gubernativo No. 240-98). Es el momento en que la autoridad reserva una partida presupuestaria cuyo trámite se inicia formalmente para atender una obligación futura. Se afecta un comprobante único de registro en la etapa mediante una orden de trabajo, de compra a un contrato que halla sido perfeccionado.</t>
  </si>
  <si>
    <t xml:space="preserve">Incluye los nombres de los rubros correspondientes a la consulta que se tiene desplegada en la tabla principal. En este caso, según la consulta seleccionada puede incluir por ejemplo, el listado de instituciones correspondientes al Clasificador Institucional del Sector Público vigente para cada periodo que se consulte, o el listado de meses, o los tipos de gasto conforme a diferentes clasificadores como la Clasificación por Grupo de Gasto o la Clasificación Económica de Gasto, o simplemente mostrar el Gasto Total </t>
  </si>
  <si>
    <t>Permite consultar la distribución de los montos en relación a la Clasificación Económica del Gasto. Esta clasificación ordena los gastos según la naturaleza económica de las transacciones que realiza el sector público, con el propósito de evaluar el impacto y repercusiones que generan las acciones fiscales. En este sentido, el gasto se subdivide en: 1) Gastos corrientes, que comprenden las erogaciones destinadas a las actividades de producción de bienes y servicios del sector público, el pago de intereses por deudas y préstamos y las transferencias de recursos que no involucran una contraprestación efectiva de bienes y servicios; 2) Gastos de capital, que son los gastos destinados a la adquisición o producción de bienes materiales e inmateriales y a inversión financiera, que incrementan el activo del Estado y sirven de base para la producción de bienes y servicios, éstos incluyen la inversión real, las transferencias de capital y la inversión financiera; y, 3) Aplicaciones financieras, que surgen por el incremento de los activos financieros y la disminución de pasivos públicos.</t>
  </si>
  <si>
    <t>Seleccionada la consulta de finalidades es posible para el usuario descender a un nivel inferior de cada finalidad, observando las funciones asociadas a esta. Este botón se habilita en lugar del botón de finalidad, acorde a las consultas ejecutadas por el usuario. Por ejemplo seleccionada la finalidad Servicios sociales, al utilizar esta consulta se desplegarían en pantalla las funciones siguientes: salud y asistencia social, trabajo y previsión social, educación, cultura y deportes, ciencia y tecnología, agua y saneamiento, vivienda, desarrollo urbano y rural, medio ambiente y otras actividades de servicios sociales. Esta consulta está asociada a la Clasificación por Finalidades y Funciones, en la parte concerniente a las funciones. Las funciones detallan los medios a través de los cuales se cumplen los objetivos generales de Gobierno englobados en la Finalidad respectiva.</t>
  </si>
  <si>
    <t>Agrupamiento de unidades institucionales residentes que componen la economía total : l) sector de las sociedades no financieras (incluye ISFL no financieras de mercado), 2) sector de las sociedades financieras (incluye ISFL financieras de mercado), 3) sector del gobierno general (incluye ISFL no de mercado, controladas y financiadas principalmente por unidades del gobierno), 4) sector de los hogares, 5) sector de las instituciones sin fines de lucro no de mercado que sirven a los hogares (ISFLSH).</t>
  </si>
  <si>
    <t>Es el análisis de la relación entre ecosistema y cultura. En general, es el entorno en el cual opera una organización, que incluye el aire, el agua, el suelo, los recursos naturales, la flora, la fauna, los seres humanos, y su interrelación. En este contexto, el medio ambiente se extiende desde el interior de una organización hasta el sistema global. El medio ambiente se refiere a todo lo que rodea a los seres vivos, está conformado por elementos biofísicos (suelo, agua, clima, atmósfera, plantas, animales y microorganismos), y componentes sociales que se refieren a los derivados de las relaciones que se manifiestan a través de la cultura, la ideología y la economía. La relación que se establece entre estos elementos es lo que, desde una visión integral, conceptualiza el medio ambiente como un sistema. Hoy en día el concepto de medio ambiente está ligado al de desarrollo; esta relación nos permite entender los problemas ambientales y su vínculo con el desarrollo sustentable, el cual debe garantizar una adecuada calidad de vida para las generaciones presente y futura.</t>
  </si>
  <si>
    <t>Función de intervención que realizan las instituciones nacionales de crédito, organismos auxiliares, instituciones nacionales de seguros y fianzas y demás instituciones o entidades legalmente autorizadas para constituirse como medios de enlace, entre el acreditante de un financiamiento y el acreditado, obteniendo una comisión por su labor de concertar los créditos en los mercados de dinero nacionales e internacionales. Representa la parte del endeudamiento neto de la banca de desarrollo y de los fondos y fideicomisos de fomento, requerido para financiar a los sectores privado y social, y para cubrir su déficit de operación. Su cálculo se obtiene de restar al endeudamiento neto total  de las instituciones financieras de fomento, el financiamiento neto al sector público y la variación de disponibilidades.</t>
  </si>
  <si>
    <t>Los recursos provienen  principalmente de donaciones en dinero o en especie efectuadas por la población en general, por las sociedades o el gobierno. Sus recursos lo pueden obtener en forma de transferencias de no residentes, incluidas las de ISFLSH análogas residentes en otros países.</t>
  </si>
  <si>
    <t>Tierra mayor a 0.5 ha, dotada de árboles con capacidad de alcanzar alturas superiores a los 5 metros o sin ellos, que se caracteriza por la ausencia de otros usos predominantes de la tierra, tales como la agricultura, la ganadería, minería o urbanización.</t>
  </si>
  <si>
    <t>Tierra que se extiende por más de 0.5 ha, dotada de árboles capaces de alcanzar una altura superior a 5 metros y una cubierta de copas superior al 10% en la edad adulta, cuyo uso no sea predominantemente agrícola, urbano, ganadero, minero o de cuerpos de agua.</t>
  </si>
  <si>
    <t xml:space="preserve">Área con un tipo de vegetación que no alcanza los 5 metros de altura en la edad adulta y no tienen copa definida, por lo que no puede clasificarse como bosque, pero al mismo tiempo no tiene otros usos definidos. </t>
  </si>
  <si>
    <r>
      <t xml:space="preserve">Se entiende por medioambiente o medio ambiente al entorno que afecta y condiciona especialmente las circunstancias de vida de las </t>
    </r>
    <r>
      <rPr>
        <sz val="8"/>
        <rFont val="Arial Narrow"/>
        <family val="2"/>
      </rPr>
      <t>personas</t>
    </r>
    <r>
      <rPr>
        <sz val="8"/>
        <color indexed="8"/>
        <rFont val="Arial Narrow"/>
        <family val="2"/>
      </rPr>
      <t xml:space="preserve"> o la </t>
    </r>
    <r>
      <rPr>
        <sz val="8"/>
        <rFont val="Arial Narrow"/>
        <family val="2"/>
      </rPr>
      <t>sociedad</t>
    </r>
    <r>
      <rPr>
        <sz val="8"/>
        <color indexed="8"/>
        <rFont val="Arial Narrow"/>
        <family val="2"/>
      </rPr>
      <t xml:space="preserve"> en su conjunto. Comprende el conjunto de valores naturales, sociales y culturales existentes en un lugar y un momento determinado, que influyen en la vida del hombre y en las generaciones venideras. Es decir, no se trata sólo del espacio en el que se desarrolla la vida sino que también abarca </t>
    </r>
    <r>
      <rPr>
        <sz val="8"/>
        <rFont val="Arial Narrow"/>
        <family val="2"/>
      </rPr>
      <t>seres vivos</t>
    </r>
    <r>
      <rPr>
        <sz val="8"/>
        <color indexed="8"/>
        <rFont val="Arial Narrow"/>
        <family val="2"/>
      </rPr>
      <t xml:space="preserve">, objetos, </t>
    </r>
    <r>
      <rPr>
        <sz val="8"/>
        <rFont val="Arial Narrow"/>
        <family val="2"/>
      </rPr>
      <t>agua</t>
    </r>
    <r>
      <rPr>
        <sz val="8"/>
        <color indexed="8"/>
        <rFont val="Arial Narrow"/>
        <family val="2"/>
      </rPr>
      <t xml:space="preserve">, </t>
    </r>
    <r>
      <rPr>
        <sz val="8"/>
        <rFont val="Arial Narrow"/>
        <family val="2"/>
      </rPr>
      <t>suelo</t>
    </r>
    <r>
      <rPr>
        <sz val="8"/>
        <color indexed="8"/>
        <rFont val="Arial Narrow"/>
        <family val="2"/>
      </rPr>
      <t xml:space="preserve">, </t>
    </r>
    <r>
      <rPr>
        <sz val="8"/>
        <rFont val="Arial Narrow"/>
        <family val="2"/>
      </rPr>
      <t>aire</t>
    </r>
    <r>
      <rPr>
        <sz val="8"/>
        <color indexed="8"/>
        <rFont val="Arial Narrow"/>
        <family val="2"/>
      </rPr>
      <t xml:space="preserve"> y las relaciones entre ellos, así como elementos tan intangibles como la </t>
    </r>
    <r>
      <rPr>
        <sz val="8"/>
        <rFont val="Arial Narrow"/>
        <family val="2"/>
      </rPr>
      <t>cultura</t>
    </r>
    <r>
      <rPr>
        <sz val="8"/>
        <color indexed="8"/>
        <rFont val="Arial Narrow"/>
        <family val="2"/>
      </rPr>
      <t xml:space="preserve">. El Día Mundial del Medioambiente se celebra el </t>
    </r>
    <r>
      <rPr>
        <sz val="8"/>
        <rFont val="Arial Narrow"/>
        <family val="2"/>
      </rPr>
      <t>5 de junio</t>
    </r>
    <r>
      <rPr>
        <sz val="8"/>
        <color indexed="8"/>
        <rFont val="Arial Narrow"/>
        <family val="2"/>
      </rPr>
      <t xml:space="preserve">. A favor de muchas opiniones, la expresión «medio ambiente» es un </t>
    </r>
    <r>
      <rPr>
        <sz val="8"/>
        <rFont val="Arial Narrow"/>
        <family val="2"/>
      </rPr>
      <t>pleonasmo</t>
    </r>
    <r>
      <rPr>
        <sz val="8"/>
        <color indexed="8"/>
        <rFont val="Arial Narrow"/>
        <family val="2"/>
      </rPr>
      <t xml:space="preserve">, y se puede sustituir por otras expresiones más específicas o ambiguas como es el caso de ambiente o entorno. La palabra «medio» puede ser un sustantivo y también un adjetivo, con el significado de la mitad, por lo que no se debiera decir «Ministerio de Medio Ambiente», por ejemplo, sino «Ministerio del Ambiente», ya que el empleo del artículo determina el uso del término como sustantivo; cuando se dice solamente «Ministerio del Ambiente» es porque el sustantivo «Medio» se encuentra sobreentendido. </t>
    </r>
  </si>
  <si>
    <t>En las sociedades modernas los impuestos se clasifican en dos grandes categorías: impuestos directos e impuestos indirectos. Los primeros recaen directamente sobre el contribuyente, en tanto persona natural o jurídica, e incluyen los impuestos sobre la renta, los que se cobran a las sucesiones y herencias, los impuestos al enriquecimiento, y también las cantidades que se pagan al fisco por la realización de diversos trámites personales, como la obtención de documentos de identidad, licencias, pago de derechos, etc. Los impuestos indirectos son los que se cargan sobre las mercancías o las transacciones que se realizan con ellas: así sucede en el caso de los impuestos a las ventas, al valor agregado (IVA) o añadido, cuando se pagan aranceles para importar bienes, etc.</t>
  </si>
  <si>
    <t>­</t>
  </si>
  <si>
    <t>¯</t>
  </si>
  <si>
    <t xml:space="preserve"> </t>
  </si>
</sst>
</file>

<file path=xl/styles.xml><?xml version="1.0" encoding="utf-8"?>
<styleSheet xmlns="http://schemas.openxmlformats.org/spreadsheetml/2006/main">
  <numFmts count="12">
    <numFmt numFmtId="41" formatCode="_(* #,##0_);_(* \(#,##0\);_(* &quot;-&quot;_);_(@_)"/>
    <numFmt numFmtId="44" formatCode="_(&quot;Q&quot;* #,##0.00_);_(&quot;Q&quot;* \(#,##0.00\);_(&quot;Q&quot;* &quot;-&quot;??_);_(@_)"/>
    <numFmt numFmtId="43" formatCode="_(* #,##0.00_);_(* \(#,##0.00\);_(* &quot;-&quot;??_);_(@_)"/>
    <numFmt numFmtId="164" formatCode="_(* #,##0_);_(* \(#,##0\);_(* &quot;-&quot;??_);_(@_)"/>
    <numFmt numFmtId="165" formatCode="0.0000"/>
    <numFmt numFmtId="166" formatCode="_(* #,##0.0000_);_(* \(#,##0.0000\);_(* &quot;-&quot;????_);_(@_)"/>
    <numFmt numFmtId="167" formatCode="0.000"/>
    <numFmt numFmtId="168" formatCode="_(* #,##0.000_);_(* \(#,##0.000\);_(* &quot;-&quot;??_);_(@_)"/>
    <numFmt numFmtId="169" formatCode="_([$€]* #,##0.00_);_([$€]* \(#,##0.00\);_([$€]* &quot;-&quot;??_);_(@_)"/>
    <numFmt numFmtId="170" formatCode="_(* #,##0.0_);_(* \(#,##0.0\);_(* &quot;-&quot;??_);_(@_)"/>
    <numFmt numFmtId="171" formatCode="_(* #,##0.0_);_(* \(#,##0.0\);_(* &quot;-&quot;?_);_(@_)"/>
    <numFmt numFmtId="172" formatCode="_(* #,##0.00_);_(* \(#,##0.00\);_(* &quot;-&quot;?_);_(@_)"/>
  </numFmts>
  <fonts count="70">
    <font>
      <sz val="10"/>
      <color theme="1"/>
      <name val="Arial Narrow"/>
      <family val="2"/>
    </font>
    <font>
      <sz val="11"/>
      <color theme="1"/>
      <name val="Calibri"/>
      <family val="2"/>
      <scheme val="minor"/>
    </font>
    <font>
      <b/>
      <sz val="10"/>
      <color theme="1"/>
      <name val="Arial Narrow"/>
      <family val="2"/>
    </font>
    <font>
      <sz val="10"/>
      <name val="Arial"/>
      <family val="2"/>
    </font>
    <font>
      <b/>
      <sz val="8"/>
      <name val="Arial Narrow"/>
      <family val="2"/>
    </font>
    <font>
      <sz val="8"/>
      <name val="Arial Narrow"/>
      <family val="2"/>
    </font>
    <font>
      <sz val="10"/>
      <color theme="1"/>
      <name val="Arial Narrow"/>
      <family val="2"/>
    </font>
    <font>
      <b/>
      <sz val="8"/>
      <color rgb="FF0070C0"/>
      <name val="Arial Narrow"/>
      <family val="2"/>
    </font>
    <font>
      <b/>
      <sz val="10"/>
      <color rgb="FF0070C0"/>
      <name val="Arial Narrow"/>
      <family val="2"/>
    </font>
    <font>
      <u/>
      <sz val="10"/>
      <color theme="10"/>
      <name val="Arial Narrow"/>
      <family val="2"/>
    </font>
    <font>
      <sz val="10"/>
      <name val="CG Times"/>
      <family val="1"/>
    </font>
    <font>
      <sz val="10"/>
      <color indexed="8"/>
      <name val="Arial"/>
      <family val="2"/>
    </font>
    <font>
      <b/>
      <sz val="10"/>
      <color indexed="8"/>
      <name val="Arial"/>
      <family val="2"/>
    </font>
    <font>
      <sz val="11"/>
      <color theme="1"/>
      <name val="Calibri"/>
      <family val="2"/>
      <scheme val="minor"/>
    </font>
    <font>
      <sz val="10"/>
      <color indexed="8"/>
      <name val="MS Sans Serif"/>
      <family val="2"/>
    </font>
    <font>
      <sz val="11"/>
      <color indexed="8"/>
      <name val="Calibri"/>
      <family val="2"/>
    </font>
    <font>
      <sz val="8"/>
      <color indexed="8"/>
      <name val="Arial Narrow"/>
      <family val="2"/>
    </font>
    <font>
      <b/>
      <sz val="8"/>
      <color indexed="8"/>
      <name val="Arial Narrow"/>
      <family val="2"/>
    </font>
    <font>
      <u/>
      <sz val="10"/>
      <color indexed="12"/>
      <name val="Arial"/>
      <family val="2"/>
    </font>
    <font>
      <b/>
      <sz val="10"/>
      <name val="Arial Narrow"/>
      <family val="2"/>
    </font>
    <font>
      <b/>
      <sz val="10"/>
      <color rgb="FF000000"/>
      <name val="Arial Narrow"/>
      <family val="2"/>
    </font>
    <font>
      <sz val="10"/>
      <name val="Arial Narrow"/>
      <family val="2"/>
    </font>
    <font>
      <b/>
      <sz val="10"/>
      <color theme="3" tint="0.39997558519241921"/>
      <name val="Arial Narrow"/>
      <family val="2"/>
    </font>
    <font>
      <b/>
      <sz val="10"/>
      <color indexed="8"/>
      <name val="Arial Narrow"/>
      <family val="2"/>
    </font>
    <font>
      <sz val="10"/>
      <color indexed="8"/>
      <name val="Arial Narrow"/>
      <family val="2"/>
    </font>
    <font>
      <i/>
      <sz val="10"/>
      <color indexed="8"/>
      <name val="Arial Narrow"/>
      <family val="2"/>
    </font>
    <font>
      <i/>
      <sz val="10"/>
      <name val="Arial Narrow"/>
      <family val="2"/>
    </font>
    <font>
      <b/>
      <sz val="10"/>
      <color theme="1"/>
      <name val="Calibri"/>
      <family val="2"/>
      <scheme val="minor"/>
    </font>
    <font>
      <b/>
      <sz val="10"/>
      <color theme="1"/>
      <name val="Arial Black"/>
      <family val="2"/>
    </font>
    <font>
      <sz val="10"/>
      <color theme="1"/>
      <name val="Arial Black"/>
      <family val="2"/>
    </font>
    <font>
      <sz val="10"/>
      <color theme="1"/>
      <name val="Calibri"/>
      <family val="2"/>
      <scheme val="minor"/>
    </font>
    <font>
      <sz val="10"/>
      <color rgb="FF000000"/>
      <name val="Arial Narrow"/>
      <family val="2"/>
    </font>
    <font>
      <b/>
      <sz val="9"/>
      <name val="Arial Narrow"/>
      <family val="2"/>
    </font>
    <font>
      <b/>
      <sz val="11"/>
      <color theme="1"/>
      <name val="Arial Narrow"/>
      <family val="2"/>
    </font>
    <font>
      <sz val="9"/>
      <color theme="1"/>
      <name val="Arial Narrow"/>
      <family val="2"/>
    </font>
    <font>
      <sz val="9"/>
      <name val="Arial Narrow"/>
      <family val="2"/>
    </font>
    <font>
      <b/>
      <sz val="9"/>
      <color theme="1"/>
      <name val="Arial Narrow"/>
      <family val="2"/>
    </font>
    <font>
      <b/>
      <sz val="11"/>
      <color theme="1"/>
      <name val="Calibri"/>
      <family val="2"/>
      <scheme val="minor"/>
    </font>
    <font>
      <sz val="11"/>
      <color theme="1"/>
      <name val="Arial Narrow"/>
      <family val="2"/>
    </font>
    <font>
      <b/>
      <sz val="11"/>
      <color rgb="FF000000"/>
      <name val="Arial Narrow"/>
      <family val="2"/>
    </font>
    <font>
      <b/>
      <sz val="11"/>
      <color theme="1"/>
      <name val="Arial"/>
      <family val="2"/>
    </font>
    <font>
      <u/>
      <sz val="11"/>
      <color theme="1"/>
      <name val="Calibri"/>
      <family val="2"/>
      <scheme val="minor"/>
    </font>
    <font>
      <b/>
      <u/>
      <sz val="10"/>
      <color theme="1"/>
      <name val="Arial Narrow"/>
      <family val="2"/>
    </font>
    <font>
      <sz val="9"/>
      <color theme="1"/>
      <name val="Calibri"/>
      <family val="2"/>
      <scheme val="minor"/>
    </font>
    <font>
      <b/>
      <i/>
      <sz val="9"/>
      <color theme="1"/>
      <name val="Arial Narrow"/>
      <family val="2"/>
    </font>
    <font>
      <b/>
      <sz val="8"/>
      <color theme="1"/>
      <name val="Arial Narrow"/>
      <family val="2"/>
    </font>
    <font>
      <sz val="8"/>
      <color theme="1"/>
      <name val="Arial Narrow"/>
      <family val="2"/>
    </font>
    <font>
      <sz val="14"/>
      <color theme="1"/>
      <name val="Arial Narrow"/>
      <family val="2"/>
    </font>
    <font>
      <b/>
      <sz val="14"/>
      <name val="Arial Narrow"/>
      <family val="2"/>
    </font>
    <font>
      <sz val="11"/>
      <color theme="1"/>
      <name val="Arial"/>
      <family val="2"/>
    </font>
    <font>
      <b/>
      <sz val="12"/>
      <name val="Arial Narrow"/>
      <family val="2"/>
    </font>
    <font>
      <sz val="12"/>
      <color theme="1"/>
      <name val="Arial Narrow"/>
      <family val="2"/>
    </font>
    <font>
      <b/>
      <sz val="14"/>
      <color theme="1"/>
      <name val="Arial"/>
      <family val="2"/>
    </font>
    <font>
      <sz val="11"/>
      <name val="Arial Narrow"/>
      <family val="2"/>
    </font>
    <font>
      <b/>
      <sz val="10"/>
      <name val="Arial"/>
      <family val="2"/>
    </font>
    <font>
      <b/>
      <sz val="11"/>
      <name val="Arial"/>
      <family val="2"/>
    </font>
    <font>
      <b/>
      <vertAlign val="superscript"/>
      <sz val="10"/>
      <name val="Arial Narrow"/>
      <family val="2"/>
    </font>
    <font>
      <vertAlign val="superscript"/>
      <sz val="10"/>
      <name val="Arial Narrow"/>
      <family val="2"/>
    </font>
    <font>
      <i/>
      <sz val="10"/>
      <color theme="1"/>
      <name val="Arial Narrow"/>
      <family val="2"/>
    </font>
    <font>
      <b/>
      <i/>
      <sz val="10"/>
      <color theme="1"/>
      <name val="Arial Narrow"/>
      <family val="2"/>
    </font>
    <font>
      <i/>
      <sz val="10"/>
      <color theme="1"/>
      <name val="Arial Black"/>
      <family val="2"/>
    </font>
    <font>
      <i/>
      <sz val="10"/>
      <color rgb="FF000000"/>
      <name val="Arial Narrow"/>
      <family val="2"/>
    </font>
    <font>
      <i/>
      <sz val="11"/>
      <color theme="1"/>
      <name val="Calibri"/>
      <family val="2"/>
      <scheme val="minor"/>
    </font>
    <font>
      <i/>
      <sz val="11"/>
      <color theme="1"/>
      <name val="Arial Narrow"/>
      <family val="2"/>
    </font>
    <font>
      <b/>
      <i/>
      <sz val="11"/>
      <color theme="1"/>
      <name val="Arial Narrow"/>
      <family val="2"/>
    </font>
    <font>
      <b/>
      <vertAlign val="superscript"/>
      <sz val="10"/>
      <color theme="1"/>
      <name val="Arial Narrow"/>
      <family val="2"/>
    </font>
    <font>
      <vertAlign val="superscript"/>
      <sz val="10"/>
      <color theme="1"/>
      <name val="Arial Narrow"/>
      <family val="2"/>
    </font>
    <font>
      <sz val="9"/>
      <color theme="1"/>
      <name val="Calibri"/>
      <family val="2"/>
    </font>
    <font>
      <sz val="10"/>
      <color theme="1"/>
      <name val="Calibri"/>
      <family val="2"/>
    </font>
    <font>
      <sz val="10"/>
      <name val="Calibri"/>
      <family val="2"/>
    </font>
  </fonts>
  <fills count="15">
    <fill>
      <patternFill patternType="none"/>
    </fill>
    <fill>
      <patternFill patternType="gray125"/>
    </fill>
    <fill>
      <patternFill patternType="solid">
        <fgColor theme="0"/>
        <bgColor indexed="64"/>
      </patternFill>
    </fill>
    <fill>
      <patternFill patternType="solid">
        <fgColor theme="0"/>
        <bgColor theme="4" tint="0.79998168889431442"/>
      </patternFill>
    </fill>
    <fill>
      <patternFill patternType="solid">
        <fgColor theme="0"/>
        <bgColor theme="0" tint="-0.14999847407452621"/>
      </patternFill>
    </fill>
    <fill>
      <patternFill patternType="solid">
        <fgColor indexed="9"/>
        <bgColor indexed="64"/>
      </patternFill>
    </fill>
    <fill>
      <patternFill patternType="solid">
        <fgColor theme="4" tint="0.79998168889431442"/>
        <bgColor theme="4" tint="0.79998168889431442"/>
      </patternFill>
    </fill>
    <fill>
      <patternFill patternType="solid">
        <fgColor rgb="FFFFFFFF"/>
        <bgColor rgb="FF000000"/>
      </patternFill>
    </fill>
    <fill>
      <patternFill patternType="solid">
        <fgColor theme="6" tint="0.39997558519241921"/>
        <bgColor indexed="64"/>
      </patternFill>
    </fill>
    <fill>
      <patternFill patternType="solid">
        <fgColor theme="6" tint="0.59999389629810485"/>
        <bgColor indexed="64"/>
      </patternFill>
    </fill>
    <fill>
      <patternFill patternType="solid">
        <fgColor theme="6" tint="0.79998168889431442"/>
        <bgColor indexed="64"/>
      </patternFill>
    </fill>
    <fill>
      <patternFill patternType="solid">
        <fgColor theme="6" tint="0.79998168889431442"/>
        <bgColor theme="4" tint="0.79998168889431442"/>
      </patternFill>
    </fill>
    <fill>
      <patternFill patternType="solid">
        <fgColor theme="6" tint="0.79998168889431442"/>
        <bgColor theme="0" tint="-0.14999847407452621"/>
      </patternFill>
    </fill>
    <fill>
      <patternFill patternType="solid">
        <fgColor theme="6" tint="0.59999389629810485"/>
        <bgColor theme="4" tint="0.79998168889431442"/>
      </patternFill>
    </fill>
    <fill>
      <patternFill patternType="solid">
        <fgColor theme="6" tint="0.59999389629810485"/>
        <bgColor theme="0" tint="-0.14999847407452621"/>
      </patternFill>
    </fill>
  </fills>
  <borders count="7">
    <border>
      <left/>
      <right/>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top/>
      <bottom style="thin">
        <color theme="4" tint="0.39997558519241921"/>
      </bottom>
      <diagonal/>
    </border>
    <border>
      <left/>
      <right/>
      <top style="thin">
        <color theme="4" tint="0.39997558519241921"/>
      </top>
      <bottom/>
      <diagonal/>
    </border>
    <border>
      <left/>
      <right/>
      <top style="thin">
        <color theme="4" tint="0.39997558519241921"/>
      </top>
      <bottom style="thin">
        <color indexed="64"/>
      </bottom>
      <diagonal/>
    </border>
  </borders>
  <cellStyleXfs count="253">
    <xf numFmtId="0" fontId="0" fillId="0" borderId="0"/>
    <xf numFmtId="0" fontId="3" fillId="0" borderId="0"/>
    <xf numFmtId="9" fontId="3" fillId="0" borderId="0" applyFont="0" applyFill="0" applyBorder="0" applyAlignment="0" applyProtection="0"/>
    <xf numFmtId="43" fontId="6" fillId="0" borderId="0" applyFont="0" applyFill="0" applyBorder="0" applyAlignment="0" applyProtection="0"/>
    <xf numFmtId="0" fontId="9" fillId="0" borderId="0" applyNumberFormat="0" applyFill="0" applyBorder="0" applyAlignment="0" applyProtection="0">
      <alignment vertical="top"/>
      <protection locked="0"/>
    </xf>
    <xf numFmtId="0" fontId="10" fillId="0" borderId="0">
      <alignment vertical="top"/>
    </xf>
    <xf numFmtId="0" fontId="11" fillId="0" borderId="0"/>
    <xf numFmtId="0" fontId="13" fillId="0" borderId="0"/>
    <xf numFmtId="0" fontId="3" fillId="0" borderId="0">
      <alignment vertical="top"/>
    </xf>
    <xf numFmtId="169" fontId="14" fillId="0" borderId="0" applyFont="0" applyFill="0" applyBorder="0" applyAlignment="0" applyProtection="0"/>
    <xf numFmtId="43" fontId="15"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0" fontId="3"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5" fillId="0" borderId="0"/>
    <xf numFmtId="0" fontId="1" fillId="0" borderId="0"/>
    <xf numFmtId="0" fontId="6" fillId="0" borderId="0"/>
    <xf numFmtId="0" fontId="1" fillId="0" borderId="0"/>
    <xf numFmtId="43" fontId="1" fillId="0" borderId="0" applyFont="0" applyFill="0" applyBorder="0" applyAlignment="0" applyProtection="0"/>
    <xf numFmtId="0" fontId="1" fillId="0" borderId="0"/>
    <xf numFmtId="43" fontId="15" fillId="0" borderId="0" applyFont="0" applyFill="0" applyBorder="0" applyAlignment="0" applyProtection="0"/>
    <xf numFmtId="0" fontId="1" fillId="0" borderId="0"/>
    <xf numFmtId="43" fontId="10" fillId="0" borderId="0" applyFont="0" applyFill="0" applyBorder="0" applyAlignment="0" applyProtection="0"/>
    <xf numFmtId="43" fontId="10" fillId="0" borderId="0" applyFont="0" applyFill="0" applyBorder="0" applyAlignment="0" applyProtection="0"/>
    <xf numFmtId="0" fontId="18" fillId="0" borderId="0" applyNumberFormat="0" applyFill="0" applyBorder="0" applyAlignment="0" applyProtection="0"/>
    <xf numFmtId="43" fontId="6" fillId="0" borderId="0" applyFont="0" applyFill="0" applyBorder="0" applyAlignment="0" applyProtection="0"/>
    <xf numFmtId="0" fontId="11"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6"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9" fontId="6" fillId="0" borderId="0" applyFont="0" applyFill="0" applyBorder="0" applyAlignment="0" applyProtection="0"/>
  </cellStyleXfs>
  <cellXfs count="864">
    <xf numFmtId="0" fontId="0" fillId="0" borderId="0" xfId="0"/>
    <xf numFmtId="41" fontId="2" fillId="3" borderId="0" xfId="0" applyNumberFormat="1" applyFont="1" applyFill="1" applyBorder="1"/>
    <xf numFmtId="0" fontId="2" fillId="2" borderId="0" xfId="0" applyFont="1" applyFill="1"/>
    <xf numFmtId="0" fontId="2" fillId="2" borderId="0" xfId="0" applyFont="1" applyFill="1" applyAlignment="1"/>
    <xf numFmtId="167" fontId="8" fillId="2" borderId="0" xfId="0" applyNumberFormat="1" applyFont="1" applyFill="1"/>
    <xf numFmtId="168" fontId="8" fillId="2" borderId="0" xfId="3" applyNumberFormat="1" applyFont="1" applyFill="1"/>
    <xf numFmtId="0" fontId="2" fillId="2" borderId="0" xfId="0" applyNumberFormat="1" applyFont="1" applyFill="1" applyAlignment="1">
      <alignment horizontal="left"/>
    </xf>
    <xf numFmtId="0" fontId="8" fillId="2" borderId="0" xfId="4" applyFont="1" applyFill="1" applyBorder="1" applyAlignment="1" applyProtection="1"/>
    <xf numFmtId="0" fontId="8" fillId="2" borderId="0" xfId="4" applyFont="1" applyFill="1" applyAlignment="1" applyProtection="1"/>
    <xf numFmtId="0" fontId="11" fillId="0" borderId="0" xfId="6" applyFont="1"/>
    <xf numFmtId="0" fontId="12" fillId="0" borderId="0" xfId="6" applyFont="1"/>
    <xf numFmtId="0" fontId="16" fillId="0" borderId="0" xfId="6" applyFont="1" applyAlignment="1">
      <alignment horizontal="left" vertical="top"/>
    </xf>
    <xf numFmtId="0" fontId="5" fillId="0" borderId="0" xfId="6" applyFont="1" applyBorder="1" applyAlignment="1">
      <alignment horizontal="justify" vertical="top"/>
    </xf>
    <xf numFmtId="0" fontId="17" fillId="0" borderId="0" xfId="6" applyFont="1" applyBorder="1" applyAlignment="1">
      <alignment horizontal="center" vertical="top"/>
    </xf>
    <xf numFmtId="0" fontId="17" fillId="0" borderId="0" xfId="6" applyFont="1" applyAlignment="1">
      <alignment horizontal="left" vertical="top"/>
    </xf>
    <xf numFmtId="2" fontId="2" fillId="2" borderId="2" xfId="0" applyNumberFormat="1" applyFont="1" applyFill="1" applyBorder="1"/>
    <xf numFmtId="43" fontId="2" fillId="0" borderId="0" xfId="0" applyNumberFormat="1" applyFont="1"/>
    <xf numFmtId="43" fontId="2" fillId="0" borderId="0" xfId="0" applyNumberFormat="1" applyFont="1" applyBorder="1"/>
    <xf numFmtId="0" fontId="0" fillId="2" borderId="0" xfId="0" applyFont="1" applyFill="1" applyAlignment="1">
      <alignment horizontal="centerContinuous"/>
    </xf>
    <xf numFmtId="0" fontId="2" fillId="2" borderId="0" xfId="0" applyFont="1" applyFill="1" applyAlignment="1">
      <alignment horizontal="centerContinuous"/>
    </xf>
    <xf numFmtId="0" fontId="6" fillId="0" borderId="0" xfId="0" applyFont="1" applyFill="1" applyBorder="1"/>
    <xf numFmtId="0" fontId="2" fillId="2" borderId="0" xfId="0" applyFont="1" applyFill="1" applyAlignment="1">
      <alignment horizontal="centerContinuous" wrapText="1"/>
    </xf>
    <xf numFmtId="0" fontId="2" fillId="0" borderId="1" xfId="0" applyFont="1" applyFill="1" applyBorder="1"/>
    <xf numFmtId="0" fontId="2" fillId="0" borderId="0" xfId="0" applyFont="1" applyFill="1" applyBorder="1" applyAlignment="1">
      <alignment horizontal="centerContinuous" wrapText="1"/>
    </xf>
    <xf numFmtId="0" fontId="2" fillId="0" borderId="0" xfId="0" applyFont="1" applyFill="1" applyBorder="1" applyAlignment="1">
      <alignment horizontal="centerContinuous"/>
    </xf>
    <xf numFmtId="0" fontId="2" fillId="2" borderId="0" xfId="0" applyFont="1" applyFill="1" applyBorder="1"/>
    <xf numFmtId="0" fontId="8" fillId="0" borderId="0" xfId="4" applyFont="1" applyAlignment="1" applyProtection="1"/>
    <xf numFmtId="41" fontId="2" fillId="3" borderId="0" xfId="0" applyNumberFormat="1" applyFont="1" applyFill="1" applyBorder="1" applyAlignment="1">
      <alignment horizontal="centerContinuous"/>
    </xf>
    <xf numFmtId="2" fontId="2" fillId="2" borderId="0" xfId="0" applyNumberFormat="1" applyFont="1" applyFill="1" applyBorder="1"/>
    <xf numFmtId="0" fontId="2" fillId="2" borderId="0" xfId="0" applyFont="1" applyFill="1" applyBorder="1" applyAlignment="1"/>
    <xf numFmtId="0" fontId="2" fillId="2" borderId="0" xfId="0" applyFont="1" applyFill="1" applyAlignment="1">
      <alignment horizontal="left"/>
    </xf>
    <xf numFmtId="0" fontId="6" fillId="0" borderId="1" xfId="0" applyFont="1" applyFill="1" applyBorder="1"/>
    <xf numFmtId="0" fontId="2" fillId="0" borderId="0" xfId="0" applyFont="1" applyFill="1" applyBorder="1"/>
    <xf numFmtId="164" fontId="2" fillId="0" borderId="0" xfId="0" applyNumberFormat="1" applyFont="1" applyFill="1" applyBorder="1"/>
    <xf numFmtId="164" fontId="20" fillId="0" borderId="0" xfId="0" applyNumberFormat="1" applyFont="1" applyFill="1" applyBorder="1"/>
    <xf numFmtId="3" fontId="2" fillId="0" borderId="0" xfId="0" applyNumberFormat="1" applyFont="1" applyFill="1" applyBorder="1"/>
    <xf numFmtId="3" fontId="6" fillId="0" borderId="0" xfId="0" applyNumberFormat="1" applyFont="1" applyFill="1" applyBorder="1"/>
    <xf numFmtId="3" fontId="6" fillId="0" borderId="2" xfId="0" applyNumberFormat="1" applyFont="1" applyFill="1" applyBorder="1"/>
    <xf numFmtId="0" fontId="6" fillId="0" borderId="2" xfId="0" applyFont="1" applyFill="1" applyBorder="1"/>
    <xf numFmtId="164" fontId="2" fillId="0" borderId="1" xfId="0" applyNumberFormat="1" applyFont="1" applyFill="1" applyBorder="1"/>
    <xf numFmtId="0" fontId="0" fillId="0" borderId="0" xfId="0" applyFont="1"/>
    <xf numFmtId="0" fontId="2" fillId="0" borderId="0" xfId="0" applyFont="1" applyAlignment="1"/>
    <xf numFmtId="0" fontId="8" fillId="2" borderId="0" xfId="4" applyFont="1" applyFill="1" applyAlignment="1" applyProtection="1">
      <alignment horizontal="left"/>
    </xf>
    <xf numFmtId="0" fontId="21" fillId="2" borderId="0" xfId="0" applyFont="1" applyFill="1" applyAlignment="1">
      <alignment horizontal="centerContinuous"/>
    </xf>
    <xf numFmtId="0" fontId="0" fillId="2" borderId="0" xfId="0" applyFont="1" applyFill="1"/>
    <xf numFmtId="0" fontId="22" fillId="2" borderId="0" xfId="4" applyFont="1" applyFill="1" applyAlignment="1" applyProtection="1">
      <alignment horizontal="left"/>
    </xf>
    <xf numFmtId="0" fontId="22" fillId="2" borderId="0" xfId="4" applyFont="1" applyFill="1" applyBorder="1" applyAlignment="1" applyProtection="1"/>
    <xf numFmtId="0" fontId="22" fillId="2" borderId="0" xfId="4" applyFont="1" applyFill="1" applyBorder="1" applyAlignment="1" applyProtection="1">
      <alignment horizontal="left"/>
    </xf>
    <xf numFmtId="0" fontId="22" fillId="0" borderId="0" xfId="4" applyFont="1" applyFill="1" applyBorder="1" applyAlignment="1" applyProtection="1">
      <alignment vertical="center"/>
    </xf>
    <xf numFmtId="0" fontId="6" fillId="2" borderId="0" xfId="0" applyFont="1" applyFill="1"/>
    <xf numFmtId="0" fontId="6" fillId="2" borderId="0" xfId="0" applyFont="1" applyFill="1" applyAlignment="1"/>
    <xf numFmtId="0" fontId="22" fillId="0" borderId="0" xfId="4" applyFont="1" applyAlignment="1" applyProtection="1"/>
    <xf numFmtId="0" fontId="22" fillId="0" borderId="0" xfId="4" applyFont="1" applyAlignment="1" applyProtection="1">
      <alignment horizontal="left"/>
    </xf>
    <xf numFmtId="0" fontId="2" fillId="0" borderId="0" xfId="0" applyFont="1"/>
    <xf numFmtId="0" fontId="19" fillId="2" borderId="0" xfId="4" applyFont="1" applyFill="1" applyBorder="1" applyAlignment="1" applyProtection="1">
      <alignment horizontal="centerContinuous" wrapText="1"/>
    </xf>
    <xf numFmtId="0" fontId="19" fillId="2" borderId="0" xfId="4" applyFont="1" applyFill="1" applyBorder="1" applyAlignment="1" applyProtection="1">
      <alignment horizontal="centerContinuous"/>
    </xf>
    <xf numFmtId="0" fontId="24" fillId="0" borderId="0" xfId="6" applyFont="1" applyBorder="1" applyAlignment="1">
      <alignment horizontal="left" vertical="top" wrapText="1"/>
    </xf>
    <xf numFmtId="0" fontId="24" fillId="0" borderId="0" xfId="6" applyFont="1" applyBorder="1" applyAlignment="1">
      <alignment horizontal="left" vertical="top"/>
    </xf>
    <xf numFmtId="0" fontId="24" fillId="0" borderId="0" xfId="7" applyFont="1" applyAlignment="1">
      <alignment horizontal="justify"/>
    </xf>
    <xf numFmtId="0" fontId="23" fillId="0" borderId="0" xfId="7" applyFont="1" applyAlignment="1"/>
    <xf numFmtId="0" fontId="24" fillId="0" borderId="0" xfId="7" applyFont="1" applyAlignment="1"/>
    <xf numFmtId="0" fontId="24" fillId="0" borderId="2" xfId="7" applyFont="1" applyBorder="1" applyAlignment="1"/>
    <xf numFmtId="0" fontId="24" fillId="0" borderId="0" xfId="6" applyFont="1"/>
    <xf numFmtId="0" fontId="2" fillId="2" borderId="0" xfId="0" applyFont="1" applyFill="1" applyBorder="1" applyAlignment="1">
      <alignment horizontal="left" wrapText="1"/>
    </xf>
    <xf numFmtId="43" fontId="27" fillId="2" borderId="4" xfId="3" applyFont="1" applyFill="1" applyBorder="1"/>
    <xf numFmtId="43" fontId="27" fillId="2" borderId="0" xfId="3" applyFont="1" applyFill="1" applyBorder="1"/>
    <xf numFmtId="43" fontId="27" fillId="3" borderId="5" xfId="3" applyFont="1" applyFill="1" applyBorder="1"/>
    <xf numFmtId="43" fontId="27" fillId="0" borderId="4" xfId="0" applyNumberFormat="1" applyFont="1" applyBorder="1"/>
    <xf numFmtId="43" fontId="27" fillId="0" borderId="0" xfId="0" applyNumberFormat="1" applyFont="1" applyBorder="1"/>
    <xf numFmtId="43" fontId="27" fillId="6" borderId="5" xfId="0" applyNumberFormat="1" applyFont="1" applyFill="1" applyBorder="1"/>
    <xf numFmtId="0" fontId="2" fillId="2" borderId="3" xfId="0" applyFont="1" applyFill="1" applyBorder="1" applyAlignment="1">
      <alignment horizontal="left" wrapText="1"/>
    </xf>
    <xf numFmtId="0" fontId="2" fillId="2" borderId="3" xfId="0" applyFont="1" applyFill="1" applyBorder="1" applyAlignment="1">
      <alignment horizontal="right" wrapText="1"/>
    </xf>
    <xf numFmtId="2" fontId="0" fillId="2" borderId="0" xfId="0" applyNumberFormat="1" applyFont="1" applyFill="1"/>
    <xf numFmtId="1" fontId="0" fillId="2" borderId="0" xfId="0" applyNumberFormat="1" applyFont="1" applyFill="1"/>
    <xf numFmtId="0" fontId="2" fillId="2" borderId="2" xfId="0" applyFont="1" applyFill="1" applyBorder="1" applyAlignment="1">
      <alignment horizontal="left" wrapText="1"/>
    </xf>
    <xf numFmtId="1" fontId="0" fillId="2" borderId="2" xfId="0" applyNumberFormat="1" applyFont="1" applyFill="1" applyBorder="1"/>
    <xf numFmtId="0" fontId="0" fillId="2" borderId="0" xfId="0" applyFont="1" applyFill="1" applyAlignment="1"/>
    <xf numFmtId="0" fontId="2" fillId="2" borderId="0" xfId="0" applyFont="1" applyFill="1" applyBorder="1" applyAlignment="1">
      <alignment horizontal="centerContinuous" wrapText="1"/>
    </xf>
    <xf numFmtId="2" fontId="0" fillId="2" borderId="0" xfId="0" applyNumberFormat="1" applyFont="1" applyFill="1" applyAlignment="1">
      <alignment horizontal="center"/>
    </xf>
    <xf numFmtId="0" fontId="2" fillId="2" borderId="0" xfId="0" applyFont="1" applyFill="1" applyBorder="1" applyAlignment="1">
      <alignment horizontal="left"/>
    </xf>
    <xf numFmtId="1" fontId="0" fillId="2" borderId="0" xfId="0" applyNumberFormat="1" applyFont="1" applyFill="1" applyAlignment="1">
      <alignment horizontal="center"/>
    </xf>
    <xf numFmtId="1" fontId="0" fillId="2" borderId="2" xfId="0" applyNumberFormat="1" applyFont="1" applyFill="1" applyBorder="1" applyAlignment="1">
      <alignment horizontal="center"/>
    </xf>
    <xf numFmtId="0" fontId="6" fillId="2" borderId="0" xfId="0" applyFont="1" applyFill="1" applyBorder="1"/>
    <xf numFmtId="0" fontId="19" fillId="2" borderId="0" xfId="0" applyFont="1" applyFill="1" applyBorder="1" applyAlignment="1">
      <alignment horizontal="centerContinuous"/>
    </xf>
    <xf numFmtId="0" fontId="2" fillId="2" borderId="0" xfId="0" applyFont="1" applyFill="1" applyBorder="1" applyAlignment="1">
      <alignment horizontal="centerContinuous"/>
    </xf>
    <xf numFmtId="0" fontId="6" fillId="2" borderId="0" xfId="0" applyFont="1" applyFill="1" applyBorder="1" applyAlignment="1">
      <alignment horizontal="centerContinuous"/>
    </xf>
    <xf numFmtId="41" fontId="6" fillId="2" borderId="0" xfId="0" applyNumberFormat="1" applyFont="1" applyFill="1" applyBorder="1"/>
    <xf numFmtId="2" fontId="6" fillId="2" borderId="0" xfId="0" applyNumberFormat="1" applyFont="1" applyFill="1" applyBorder="1"/>
    <xf numFmtId="43" fontId="6" fillId="2" borderId="0" xfId="0" applyNumberFormat="1" applyFont="1" applyFill="1" applyBorder="1"/>
    <xf numFmtId="0" fontId="8" fillId="2" borderId="0" xfId="4" applyNumberFormat="1" applyFont="1" applyFill="1" applyAlignment="1" applyProtection="1">
      <alignment horizontal="centerContinuous"/>
    </xf>
    <xf numFmtId="0" fontId="19" fillId="2" borderId="0" xfId="1" applyFont="1" applyFill="1" applyAlignment="1">
      <alignment horizontal="centerContinuous"/>
    </xf>
    <xf numFmtId="41" fontId="19" fillId="2" borderId="0" xfId="1" applyNumberFormat="1" applyFont="1" applyFill="1" applyBorder="1" applyAlignment="1">
      <alignment horizontal="left"/>
    </xf>
    <xf numFmtId="0" fontId="19" fillId="2" borderId="0" xfId="1" applyFont="1" applyFill="1" applyBorder="1" applyAlignment="1">
      <alignment horizontal="center"/>
    </xf>
    <xf numFmtId="41" fontId="21" fillId="2" borderId="0" xfId="1" applyNumberFormat="1" applyFont="1" applyFill="1" applyBorder="1" applyAlignment="1">
      <alignment vertical="center" wrapText="1"/>
    </xf>
    <xf numFmtId="165" fontId="0" fillId="2" borderId="0" xfId="0" applyNumberFormat="1" applyFont="1" applyFill="1" applyAlignment="1">
      <alignment horizontal="center"/>
    </xf>
    <xf numFmtId="41" fontId="19" fillId="2" borderId="0" xfId="1" applyNumberFormat="1" applyFont="1" applyFill="1" applyBorder="1" applyAlignment="1">
      <alignment horizontal="left" vertical="center"/>
    </xf>
    <xf numFmtId="41" fontId="19" fillId="2" borderId="0" xfId="1" applyNumberFormat="1" applyFont="1" applyFill="1" applyBorder="1" applyAlignment="1">
      <alignment horizontal="left" vertical="center" wrapText="1"/>
    </xf>
    <xf numFmtId="0" fontId="0" fillId="2" borderId="0" xfId="0" applyFont="1" applyFill="1" applyBorder="1"/>
    <xf numFmtId="41" fontId="19" fillId="2" borderId="2" xfId="1" applyNumberFormat="1" applyFont="1" applyFill="1" applyBorder="1" applyAlignment="1">
      <alignment horizontal="left" vertical="center"/>
    </xf>
    <xf numFmtId="0" fontId="0" fillId="2" borderId="2" xfId="0" applyFont="1" applyFill="1" applyBorder="1"/>
    <xf numFmtId="41" fontId="19" fillId="2" borderId="2" xfId="1" applyNumberFormat="1" applyFont="1" applyFill="1" applyBorder="1" applyAlignment="1">
      <alignment horizontal="left" vertical="center" wrapText="1"/>
    </xf>
    <xf numFmtId="167" fontId="0" fillId="2" borderId="0" xfId="0" applyNumberFormat="1" applyFont="1" applyFill="1" applyAlignment="1">
      <alignment horizontal="center"/>
    </xf>
    <xf numFmtId="167" fontId="21" fillId="2" borderId="0" xfId="1" applyNumberFormat="1" applyFont="1" applyFill="1" applyBorder="1" applyAlignment="1">
      <alignment horizontal="center"/>
    </xf>
    <xf numFmtId="167" fontId="19" fillId="2" borderId="2" xfId="2" applyNumberFormat="1" applyFont="1" applyFill="1" applyBorder="1" applyAlignment="1">
      <alignment horizontal="center"/>
    </xf>
    <xf numFmtId="0" fontId="0" fillId="2" borderId="0" xfId="0" applyNumberFormat="1" applyFont="1" applyFill="1" applyAlignment="1">
      <alignment horizontal="right"/>
    </xf>
    <xf numFmtId="0" fontId="8" fillId="2" borderId="0" xfId="4" applyFont="1" applyFill="1" applyAlignment="1" applyProtection="1">
      <alignment horizontal="centerContinuous"/>
    </xf>
    <xf numFmtId="167" fontId="2" fillId="2" borderId="2" xfId="0" applyNumberFormat="1" applyFont="1" applyFill="1" applyBorder="1" applyAlignment="1">
      <alignment horizontal="center"/>
    </xf>
    <xf numFmtId="0" fontId="19" fillId="2" borderId="0" xfId="1" applyFont="1" applyFill="1" applyBorder="1" applyAlignment="1">
      <alignment horizontal="left"/>
    </xf>
    <xf numFmtId="0" fontId="0" fillId="2" borderId="0" xfId="0" applyFont="1" applyFill="1" applyBorder="1" applyAlignment="1">
      <alignment horizontal="center"/>
    </xf>
    <xf numFmtId="0" fontId="0" fillId="2" borderId="0" xfId="0" applyFont="1" applyFill="1" applyBorder="1" applyAlignment="1"/>
    <xf numFmtId="165" fontId="0" fillId="2" borderId="0" xfId="0" applyNumberFormat="1" applyFont="1" applyFill="1" applyBorder="1" applyAlignment="1">
      <alignment horizontal="center"/>
    </xf>
    <xf numFmtId="0" fontId="0" fillId="2" borderId="0" xfId="0" applyFont="1" applyFill="1" applyAlignment="1">
      <alignment horizontal="center"/>
    </xf>
    <xf numFmtId="10" fontId="2" fillId="3" borderId="0" xfId="0" applyNumberFormat="1" applyFont="1" applyFill="1" applyBorder="1"/>
    <xf numFmtId="0" fontId="19" fillId="2" borderId="0" xfId="1" applyFont="1" applyFill="1" applyBorder="1" applyAlignment="1">
      <alignment horizontal="centerContinuous"/>
    </xf>
    <xf numFmtId="0" fontId="2" fillId="2" borderId="0" xfId="0" applyFont="1" applyFill="1" applyBorder="1" applyAlignment="1">
      <alignment wrapText="1"/>
    </xf>
    <xf numFmtId="10" fontId="0" fillId="2" borderId="0" xfId="0" applyNumberFormat="1" applyFont="1" applyFill="1" applyBorder="1" applyAlignment="1">
      <alignment horizontal="center"/>
    </xf>
    <xf numFmtId="10" fontId="2" fillId="2" borderId="0" xfId="0" applyNumberFormat="1" applyFont="1" applyFill="1" applyBorder="1" applyAlignment="1">
      <alignment horizontal="center"/>
    </xf>
    <xf numFmtId="0" fontId="2" fillId="0" borderId="0" xfId="0" applyFont="1" applyBorder="1" applyAlignment="1"/>
    <xf numFmtId="0" fontId="2" fillId="0" borderId="0" xfId="0" applyFont="1" applyBorder="1" applyAlignment="1">
      <alignment wrapText="1"/>
    </xf>
    <xf numFmtId="0" fontId="2" fillId="3" borderId="2" xfId="0" applyFont="1" applyFill="1" applyBorder="1" applyAlignment="1"/>
    <xf numFmtId="0" fontId="2" fillId="2" borderId="1" xfId="0" applyFont="1" applyFill="1" applyBorder="1" applyAlignment="1"/>
    <xf numFmtId="0" fontId="0" fillId="2" borderId="1" xfId="0" applyFont="1" applyFill="1" applyBorder="1"/>
    <xf numFmtId="0" fontId="8" fillId="5" borderId="0" xfId="4" applyFont="1" applyFill="1" applyBorder="1" applyAlignment="1" applyProtection="1"/>
    <xf numFmtId="0" fontId="21" fillId="5" borderId="0" xfId="1" applyFont="1" applyFill="1" applyBorder="1" applyAlignment="1"/>
    <xf numFmtId="0" fontId="6" fillId="2" borderId="0" xfId="0" applyFont="1" applyFill="1" applyAlignment="1">
      <alignment horizontal="centerContinuous"/>
    </xf>
    <xf numFmtId="0" fontId="21" fillId="5" borderId="0" xfId="1" applyFont="1" applyFill="1" applyBorder="1" applyAlignment="1">
      <alignment horizontal="centerContinuous"/>
    </xf>
    <xf numFmtId="0" fontId="21" fillId="5" borderId="0" xfId="1" applyFont="1" applyFill="1" applyBorder="1" applyAlignment="1">
      <alignment horizontal="center"/>
    </xf>
    <xf numFmtId="1" fontId="21" fillId="5" borderId="0" xfId="1" applyNumberFormat="1" applyFont="1" applyFill="1" applyBorder="1" applyAlignment="1">
      <alignment horizontal="center"/>
    </xf>
    <xf numFmtId="0" fontId="21" fillId="5" borderId="2" xfId="1" applyFont="1" applyFill="1" applyBorder="1" applyAlignment="1">
      <alignment horizontal="center"/>
    </xf>
    <xf numFmtId="1" fontId="21" fillId="5" borderId="2" xfId="1" applyNumberFormat="1" applyFont="1" applyFill="1" applyBorder="1" applyAlignment="1">
      <alignment horizontal="center"/>
    </xf>
    <xf numFmtId="0" fontId="19" fillId="5" borderId="0" xfId="1" applyFont="1" applyFill="1" applyBorder="1" applyAlignment="1">
      <alignment horizontal="centerContinuous"/>
    </xf>
    <xf numFmtId="41" fontId="21" fillId="5" borderId="0" xfId="1" applyNumberFormat="1" applyFont="1" applyFill="1" applyBorder="1" applyAlignment="1">
      <alignment horizontal="center"/>
    </xf>
    <xf numFmtId="41" fontId="21" fillId="5" borderId="2" xfId="1" applyNumberFormat="1" applyFont="1" applyFill="1" applyBorder="1" applyAlignment="1">
      <alignment horizontal="center"/>
    </xf>
    <xf numFmtId="0" fontId="19" fillId="5" borderId="0" xfId="1" applyFont="1" applyFill="1" applyBorder="1" applyAlignment="1"/>
    <xf numFmtId="0" fontId="19" fillId="2" borderId="0" xfId="1" applyFont="1" applyFill="1" applyAlignment="1">
      <alignment horizontal="left"/>
    </xf>
    <xf numFmtId="0" fontId="0" fillId="2" borderId="1" xfId="0" applyFont="1" applyFill="1" applyBorder="1" applyAlignment="1">
      <alignment horizontal="center"/>
    </xf>
    <xf numFmtId="2" fontId="0" fillId="2" borderId="0" xfId="0" applyNumberFormat="1" applyFont="1" applyFill="1" applyBorder="1" applyAlignment="1">
      <alignment horizontal="center"/>
    </xf>
    <xf numFmtId="0" fontId="0" fillId="2" borderId="0" xfId="0" applyFont="1" applyFill="1" applyAlignment="1">
      <alignment wrapText="1"/>
    </xf>
    <xf numFmtId="2" fontId="2" fillId="2" borderId="0" xfId="0" applyNumberFormat="1" applyFont="1" applyFill="1" applyBorder="1" applyAlignment="1">
      <alignment horizontal="center"/>
    </xf>
    <xf numFmtId="0" fontId="2" fillId="2" borderId="2" xfId="0" applyFont="1" applyFill="1" applyBorder="1" applyAlignment="1"/>
    <xf numFmtId="2" fontId="2" fillId="2" borderId="2" xfId="0" applyNumberFormat="1" applyFont="1" applyFill="1" applyBorder="1" applyAlignment="1">
      <alignment horizontal="center"/>
    </xf>
    <xf numFmtId="2" fontId="6" fillId="2" borderId="0" xfId="0" applyNumberFormat="1" applyFont="1" applyFill="1"/>
    <xf numFmtId="0" fontId="6" fillId="2" borderId="0" xfId="0" applyFont="1" applyFill="1" applyAlignment="1">
      <alignment wrapText="1"/>
    </xf>
    <xf numFmtId="0" fontId="6" fillId="2" borderId="0" xfId="0" applyFont="1" applyFill="1" applyBorder="1" applyAlignment="1"/>
    <xf numFmtId="0" fontId="6" fillId="2" borderId="1" xfId="0" applyFont="1" applyFill="1" applyBorder="1"/>
    <xf numFmtId="0" fontId="28" fillId="2" borderId="0" xfId="0" applyFont="1" applyFill="1"/>
    <xf numFmtId="0" fontId="29" fillId="2" borderId="0" xfId="0" applyFont="1" applyFill="1"/>
    <xf numFmtId="0" fontId="0" fillId="2" borderId="2" xfId="0" applyFont="1" applyFill="1" applyBorder="1" applyAlignment="1"/>
    <xf numFmtId="2" fontId="0" fillId="2" borderId="0" xfId="0" applyNumberFormat="1" applyFont="1" applyFill="1" applyBorder="1"/>
    <xf numFmtId="167" fontId="0" fillId="2" borderId="0" xfId="0" applyNumberFormat="1" applyFont="1" applyFill="1"/>
    <xf numFmtId="0" fontId="8" fillId="2" borderId="0" xfId="4" applyFont="1" applyFill="1" applyBorder="1" applyAlignment="1" applyProtection="1">
      <alignment horizontal="centerContinuous"/>
    </xf>
    <xf numFmtId="0" fontId="2" fillId="0" borderId="0" xfId="0" applyFont="1" applyFill="1" applyBorder="1" applyAlignment="1">
      <alignment horizontal="left"/>
    </xf>
    <xf numFmtId="0" fontId="0" fillId="0" borderId="0" xfId="0" applyFont="1" applyFill="1" applyBorder="1" applyAlignment="1">
      <alignment horizontal="center"/>
    </xf>
    <xf numFmtId="0" fontId="0" fillId="0" borderId="0" xfId="0" applyFont="1" applyFill="1" applyBorder="1"/>
    <xf numFmtId="0" fontId="0" fillId="0" borderId="0" xfId="0" applyFont="1" applyFill="1" applyBorder="1" applyAlignment="1"/>
    <xf numFmtId="10" fontId="0" fillId="2" borderId="0" xfId="0" applyNumberFormat="1" applyFont="1" applyFill="1" applyBorder="1"/>
    <xf numFmtId="0" fontId="0" fillId="0" borderId="0" xfId="0" applyFont="1" applyFill="1" applyBorder="1" applyAlignment="1">
      <alignment wrapText="1"/>
    </xf>
    <xf numFmtId="0" fontId="2" fillId="0" borderId="0" xfId="0" applyFont="1" applyFill="1" applyBorder="1" applyAlignment="1"/>
    <xf numFmtId="10" fontId="2" fillId="2" borderId="0" xfId="0" applyNumberFormat="1" applyFont="1" applyFill="1" applyBorder="1"/>
    <xf numFmtId="0" fontId="2" fillId="0" borderId="0" xfId="0" applyFont="1" applyFill="1" applyBorder="1" applyAlignment="1">
      <alignment horizontal="left" wrapText="1"/>
    </xf>
    <xf numFmtId="0" fontId="2" fillId="0" borderId="2" xfId="0" applyFont="1" applyFill="1" applyBorder="1" applyAlignment="1"/>
    <xf numFmtId="10" fontId="2" fillId="4" borderId="0" xfId="0" applyNumberFormat="1" applyFont="1" applyFill="1" applyBorder="1"/>
    <xf numFmtId="10" fontId="0" fillId="4" borderId="0" xfId="0" applyNumberFormat="1" applyFont="1" applyFill="1" applyBorder="1" applyAlignment="1">
      <alignment horizontal="center"/>
    </xf>
    <xf numFmtId="10" fontId="2" fillId="4" borderId="0" xfId="0" applyNumberFormat="1" applyFont="1" applyFill="1" applyBorder="1" applyAlignment="1">
      <alignment horizontal="center"/>
    </xf>
    <xf numFmtId="0" fontId="2" fillId="0" borderId="0" xfId="126" applyFont="1"/>
    <xf numFmtId="2" fontId="2" fillId="0" borderId="0" xfId="126" applyNumberFormat="1" applyFont="1"/>
    <xf numFmtId="2" fontId="0" fillId="0" borderId="0" xfId="126" applyNumberFormat="1" applyFont="1"/>
    <xf numFmtId="0" fontId="0" fillId="0" borderId="0" xfId="126" applyFont="1"/>
    <xf numFmtId="0" fontId="6" fillId="2" borderId="0" xfId="0" applyFont="1" applyFill="1" applyAlignment="1">
      <alignment horizontal="left"/>
    </xf>
    <xf numFmtId="0" fontId="19" fillId="2" borderId="1" xfId="1" applyFont="1" applyFill="1" applyBorder="1" applyAlignment="1">
      <alignment horizontal="left"/>
    </xf>
    <xf numFmtId="41" fontId="21" fillId="2" borderId="0" xfId="1" applyNumberFormat="1" applyFont="1" applyFill="1" applyBorder="1" applyAlignment="1">
      <alignment horizontal="left" vertical="center" wrapText="1"/>
    </xf>
    <xf numFmtId="0" fontId="6" fillId="2" borderId="0" xfId="0" applyFont="1" applyFill="1" applyBorder="1" applyAlignment="1">
      <alignment horizontal="left"/>
    </xf>
    <xf numFmtId="0" fontId="2" fillId="2" borderId="2" xfId="0" applyFont="1" applyFill="1" applyBorder="1" applyAlignment="1">
      <alignment horizontal="left"/>
    </xf>
    <xf numFmtId="0" fontId="2" fillId="2" borderId="1" xfId="0" applyFont="1" applyFill="1" applyBorder="1" applyAlignment="1">
      <alignment horizontal="left" wrapText="1"/>
    </xf>
    <xf numFmtId="43" fontId="6" fillId="0" borderId="0" xfId="0" applyNumberFormat="1" applyFont="1" applyBorder="1"/>
    <xf numFmtId="0" fontId="2" fillId="0" borderId="1" xfId="0" applyFont="1" applyFill="1" applyBorder="1" applyAlignment="1">
      <alignment horizontal="left"/>
    </xf>
    <xf numFmtId="0" fontId="2" fillId="0" borderId="1" xfId="0" applyFont="1" applyFill="1" applyBorder="1" applyAlignment="1">
      <alignment horizontal="left" wrapText="1"/>
    </xf>
    <xf numFmtId="0" fontId="0" fillId="0" borderId="0" xfId="0" applyFont="1" applyFill="1" applyBorder="1" applyAlignment="1">
      <alignment horizontal="left" indent="2"/>
    </xf>
    <xf numFmtId="43" fontId="0" fillId="0" borderId="0" xfId="0" applyNumberFormat="1" applyFont="1" applyFill="1" applyBorder="1"/>
    <xf numFmtId="43" fontId="0" fillId="2" borderId="0" xfId="0" applyNumberFormat="1" applyFont="1" applyFill="1"/>
    <xf numFmtId="0" fontId="2" fillId="0" borderId="2" xfId="0" applyFont="1" applyFill="1" applyBorder="1" applyAlignment="1">
      <alignment horizontal="left"/>
    </xf>
    <xf numFmtId="43" fontId="2" fillId="0" borderId="2" xfId="0" applyNumberFormat="1" applyFont="1" applyFill="1" applyBorder="1"/>
    <xf numFmtId="43" fontId="0" fillId="0" borderId="2" xfId="0" applyNumberFormat="1" applyFont="1" applyFill="1" applyBorder="1"/>
    <xf numFmtId="43" fontId="2" fillId="2" borderId="0" xfId="0" applyNumberFormat="1" applyFont="1" applyFill="1" applyBorder="1"/>
    <xf numFmtId="0" fontId="19" fillId="2" borderId="0" xfId="1" applyFont="1" applyFill="1" applyAlignment="1">
      <alignment horizontal="centerContinuous" wrapText="1"/>
    </xf>
    <xf numFmtId="0" fontId="2" fillId="2" borderId="0" xfId="0" applyFont="1" applyFill="1" applyBorder="1" applyAlignment="1">
      <alignment vertical="center"/>
    </xf>
    <xf numFmtId="0" fontId="2" fillId="3" borderId="0" xfId="0" applyFont="1" applyFill="1" applyBorder="1"/>
    <xf numFmtId="0" fontId="2" fillId="4" borderId="0" xfId="0" applyFont="1" applyFill="1" applyBorder="1"/>
    <xf numFmtId="0" fontId="2" fillId="3" borderId="0" xfId="0" applyFont="1" applyFill="1" applyBorder="1" applyAlignment="1">
      <alignment horizontal="center"/>
    </xf>
    <xf numFmtId="0" fontId="2" fillId="2" borderId="1" xfId="0" applyFont="1" applyFill="1" applyBorder="1" applyAlignment="1">
      <alignment horizontal="left"/>
    </xf>
    <xf numFmtId="164" fontId="2" fillId="2" borderId="1" xfId="3" applyNumberFormat="1" applyFont="1" applyFill="1" applyBorder="1"/>
    <xf numFmtId="164" fontId="2" fillId="4" borderId="1" xfId="3" applyNumberFormat="1" applyFont="1" applyFill="1" applyBorder="1"/>
    <xf numFmtId="0" fontId="0" fillId="2" borderId="0" xfId="0" applyFont="1" applyFill="1" applyAlignment="1">
      <alignment horizontal="left" indent="2"/>
    </xf>
    <xf numFmtId="164" fontId="0" fillId="2" borderId="0" xfId="3" applyNumberFormat="1" applyFont="1" applyFill="1" applyBorder="1" applyAlignment="1">
      <alignment horizontal="right"/>
    </xf>
    <xf numFmtId="164" fontId="0" fillId="4" borderId="0" xfId="3" applyNumberFormat="1" applyFont="1" applyFill="1" applyBorder="1" applyAlignment="1">
      <alignment horizontal="right"/>
    </xf>
    <xf numFmtId="0" fontId="0" fillId="2" borderId="0" xfId="0" applyFont="1" applyFill="1" applyBorder="1" applyAlignment="1">
      <alignment horizontal="left" indent="2"/>
    </xf>
    <xf numFmtId="0" fontId="2" fillId="3" borderId="2" xfId="0" applyFont="1" applyFill="1" applyBorder="1" applyAlignment="1">
      <alignment horizontal="left"/>
    </xf>
    <xf numFmtId="164" fontId="2" fillId="3" borderId="2" xfId="3" applyNumberFormat="1" applyFont="1" applyFill="1" applyBorder="1" applyAlignment="1">
      <alignment horizontal="right"/>
    </xf>
    <xf numFmtId="0" fontId="2" fillId="0" borderId="1" xfId="0" applyFont="1" applyFill="1" applyBorder="1" applyAlignment="1"/>
    <xf numFmtId="0" fontId="2" fillId="0" borderId="1" xfId="0" applyFont="1" applyFill="1" applyBorder="1" applyAlignment="1">
      <alignment wrapText="1"/>
    </xf>
    <xf numFmtId="164" fontId="0" fillId="0" borderId="0" xfId="3" applyNumberFormat="1" applyFont="1" applyFill="1" applyBorder="1"/>
    <xf numFmtId="170" fontId="0" fillId="0" borderId="0" xfId="3" applyNumberFormat="1" applyFont="1" applyFill="1" applyBorder="1"/>
    <xf numFmtId="0" fontId="2" fillId="0" borderId="0" xfId="0" applyFont="1" applyFill="1" applyBorder="1" applyAlignment="1">
      <alignment wrapText="1"/>
    </xf>
    <xf numFmtId="0" fontId="2" fillId="0" borderId="2" xfId="0" applyFont="1" applyFill="1" applyBorder="1" applyAlignment="1">
      <alignment wrapText="1"/>
    </xf>
    <xf numFmtId="170" fontId="2" fillId="0" borderId="2" xfId="3" applyNumberFormat="1" applyFont="1" applyFill="1" applyBorder="1"/>
    <xf numFmtId="164" fontId="2" fillId="3" borderId="0" xfId="3" applyNumberFormat="1" applyFont="1" applyFill="1" applyBorder="1"/>
    <xf numFmtId="164" fontId="2" fillId="2" borderId="0" xfId="3" applyNumberFormat="1" applyFont="1" applyFill="1" applyBorder="1"/>
    <xf numFmtId="0" fontId="0" fillId="2" borderId="0" xfId="0" applyFont="1" applyFill="1" applyBorder="1" applyAlignment="1">
      <alignment wrapText="1"/>
    </xf>
    <xf numFmtId="0" fontId="2" fillId="2" borderId="2" xfId="0" applyFont="1" applyFill="1" applyBorder="1" applyAlignment="1">
      <alignment wrapText="1"/>
    </xf>
    <xf numFmtId="0" fontId="9" fillId="0" borderId="0" xfId="4" applyFont="1" applyAlignment="1" applyProtection="1"/>
    <xf numFmtId="0" fontId="6" fillId="0" borderId="0" xfId="0" applyFont="1"/>
    <xf numFmtId="0" fontId="19" fillId="0" borderId="0" xfId="0" applyFont="1" applyFill="1" applyBorder="1"/>
    <xf numFmtId="0" fontId="21" fillId="0" borderId="0" xfId="0" applyFont="1" applyFill="1" applyBorder="1"/>
    <xf numFmtId="0" fontId="21" fillId="0" borderId="0" xfId="0" applyFont="1" applyFill="1" applyBorder="1" applyAlignment="1"/>
    <xf numFmtId="2" fontId="6" fillId="0" borderId="0" xfId="0" applyNumberFormat="1" applyFont="1" applyAlignment="1">
      <alignment horizontal="center"/>
    </xf>
    <xf numFmtId="0" fontId="19" fillId="0" borderId="0" xfId="0" applyFont="1" applyFill="1" applyBorder="1" applyAlignment="1"/>
    <xf numFmtId="0" fontId="21" fillId="0" borderId="0" xfId="0" applyFont="1" applyFill="1" applyBorder="1" applyAlignment="1">
      <alignment wrapText="1"/>
    </xf>
    <xf numFmtId="0" fontId="19" fillId="0" borderId="0" xfId="0" applyFont="1" applyFill="1" applyBorder="1" applyAlignment="1">
      <alignment wrapText="1"/>
    </xf>
    <xf numFmtId="0" fontId="21" fillId="0" borderId="2" xfId="0" applyFont="1" applyFill="1" applyBorder="1"/>
    <xf numFmtId="0" fontId="21" fillId="0" borderId="2" xfId="0" applyFont="1" applyFill="1" applyBorder="1" applyAlignment="1">
      <alignment wrapText="1"/>
    </xf>
    <xf numFmtId="2" fontId="6" fillId="0" borderId="2" xfId="0" applyNumberFormat="1" applyFont="1" applyBorder="1" applyAlignment="1">
      <alignment horizontal="center"/>
    </xf>
    <xf numFmtId="0" fontId="6" fillId="0" borderId="0" xfId="0" applyFont="1" applyAlignment="1">
      <alignment horizontal="center"/>
    </xf>
    <xf numFmtId="170" fontId="19" fillId="0" borderId="1" xfId="0" applyNumberFormat="1" applyFont="1" applyFill="1" applyBorder="1"/>
    <xf numFmtId="170" fontId="2" fillId="0" borderId="0" xfId="0" applyNumberFormat="1" applyFont="1"/>
    <xf numFmtId="170" fontId="19" fillId="0" borderId="0" xfId="3" applyNumberFormat="1" applyFont="1" applyFill="1" applyBorder="1"/>
    <xf numFmtId="170" fontId="21" fillId="0" borderId="0" xfId="3" applyNumberFormat="1" applyFont="1" applyFill="1" applyBorder="1"/>
    <xf numFmtId="170" fontId="6" fillId="0" borderId="0" xfId="0" applyNumberFormat="1" applyFont="1"/>
    <xf numFmtId="170" fontId="21" fillId="0" borderId="2" xfId="3" applyNumberFormat="1" applyFont="1" applyFill="1" applyBorder="1"/>
    <xf numFmtId="170" fontId="6" fillId="0" borderId="2" xfId="0" applyNumberFormat="1" applyFont="1" applyBorder="1"/>
    <xf numFmtId="0" fontId="21" fillId="0" borderId="0" xfId="6" applyFont="1" applyFill="1" applyBorder="1" applyAlignment="1"/>
    <xf numFmtId="164" fontId="21" fillId="0" borderId="0" xfId="3" applyNumberFormat="1" applyFont="1" applyFill="1" applyBorder="1"/>
    <xf numFmtId="0" fontId="9" fillId="0" borderId="0" xfId="4" applyFont="1" applyAlignment="1" applyProtection="1">
      <alignment horizontal="left"/>
    </xf>
    <xf numFmtId="0" fontId="6" fillId="0" borderId="0" xfId="0" applyFont="1" applyAlignment="1">
      <alignment wrapText="1"/>
    </xf>
    <xf numFmtId="0" fontId="30" fillId="0" borderId="0" xfId="0" applyFont="1" applyFill="1" applyBorder="1"/>
    <xf numFmtId="164" fontId="31" fillId="0" borderId="0" xfId="0" applyNumberFormat="1" applyFont="1" applyFill="1" applyBorder="1"/>
    <xf numFmtId="0" fontId="27" fillId="0" borderId="0" xfId="0" applyFont="1" applyFill="1" applyBorder="1"/>
    <xf numFmtId="164" fontId="6" fillId="0" borderId="0" xfId="0" applyNumberFormat="1" applyFont="1" applyFill="1" applyBorder="1"/>
    <xf numFmtId="164" fontId="31" fillId="0" borderId="2" xfId="0" applyNumberFormat="1" applyFont="1" applyFill="1" applyBorder="1"/>
    <xf numFmtId="0" fontId="19" fillId="2" borderId="0" xfId="1" applyFont="1" applyFill="1" applyBorder="1" applyAlignment="1">
      <alignment horizontal="centerContinuous" wrapText="1"/>
    </xf>
    <xf numFmtId="0" fontId="2" fillId="2" borderId="0" xfId="0" applyFont="1" applyFill="1" applyBorder="1" applyAlignment="1">
      <alignment horizontal="center"/>
    </xf>
    <xf numFmtId="164" fontId="0" fillId="2" borderId="0" xfId="3" applyNumberFormat="1" applyFont="1" applyFill="1" applyBorder="1"/>
    <xf numFmtId="164" fontId="0" fillId="0" borderId="1" xfId="3" applyNumberFormat="1" applyFont="1" applyFill="1" applyBorder="1"/>
    <xf numFmtId="0" fontId="21" fillId="2" borderId="0" xfId="1" applyFont="1" applyFill="1" applyBorder="1" applyAlignment="1">
      <alignment horizontal="centerContinuous"/>
    </xf>
    <xf numFmtId="170" fontId="0" fillId="0" borderId="0" xfId="0" applyNumberFormat="1" applyFont="1" applyFill="1" applyBorder="1"/>
    <xf numFmtId="170" fontId="0" fillId="0" borderId="0" xfId="0" applyNumberFormat="1" applyFont="1" applyFill="1" applyBorder="1" applyAlignment="1"/>
    <xf numFmtId="170" fontId="0" fillId="2" borderId="0" xfId="0" applyNumberFormat="1" applyFont="1" applyFill="1"/>
    <xf numFmtId="170" fontId="0" fillId="0" borderId="0" xfId="0" applyNumberFormat="1" applyFont="1" applyFill="1" applyBorder="1" applyAlignment="1">
      <alignment horizontal="center" vertical="center" wrapText="1"/>
    </xf>
    <xf numFmtId="170" fontId="0" fillId="0" borderId="0" xfId="0" applyNumberFormat="1" applyFont="1" applyFill="1" applyBorder="1" applyAlignment="1">
      <alignment vertical="center"/>
    </xf>
    <xf numFmtId="170" fontId="2" fillId="0" borderId="0" xfId="0" applyNumberFormat="1" applyFont="1" applyFill="1" applyBorder="1"/>
    <xf numFmtId="164" fontId="0" fillId="0" borderId="0" xfId="0" applyNumberFormat="1" applyFont="1" applyFill="1" applyBorder="1"/>
    <xf numFmtId="170" fontId="2" fillId="0" borderId="2" xfId="0" applyNumberFormat="1" applyFont="1" applyFill="1" applyBorder="1"/>
    <xf numFmtId="170" fontId="2" fillId="0" borderId="2" xfId="0" applyNumberFormat="1" applyFont="1" applyFill="1" applyBorder="1" applyAlignment="1"/>
    <xf numFmtId="0" fontId="19" fillId="2" borderId="0" xfId="1" applyFont="1" applyFill="1" applyBorder="1" applyAlignment="1">
      <alignment horizontal="centerContinuous" vertical="center" wrapText="1"/>
    </xf>
    <xf numFmtId="0" fontId="2" fillId="0" borderId="1" xfId="0" applyFont="1" applyFill="1" applyBorder="1" applyAlignment="1">
      <alignment horizontal="left" vertical="center"/>
    </xf>
    <xf numFmtId="43" fontId="2" fillId="0" borderId="1" xfId="0" applyNumberFormat="1" applyFont="1" applyFill="1" applyBorder="1"/>
    <xf numFmtId="0" fontId="0" fillId="0" borderId="0" xfId="0" applyFont="1" applyFill="1" applyBorder="1" applyAlignment="1">
      <alignment horizontal="centerContinuous"/>
    </xf>
    <xf numFmtId="0" fontId="19" fillId="0" borderId="0" xfId="1" applyFont="1" applyFill="1" applyBorder="1" applyAlignment="1">
      <alignment horizontal="centerContinuous" vertical="center" wrapText="1"/>
    </xf>
    <xf numFmtId="0" fontId="19" fillId="2" borderId="0" xfId="1" applyFont="1" applyFill="1" applyBorder="1" applyAlignment="1">
      <alignment horizontal="centerContinuous" vertical="center"/>
    </xf>
    <xf numFmtId="0" fontId="2" fillId="0" borderId="0" xfId="0" applyFont="1" applyFill="1" applyBorder="1" applyAlignment="1">
      <alignment horizontal="left" indent="1"/>
    </xf>
    <xf numFmtId="0" fontId="0" fillId="0" borderId="0" xfId="0" applyFont="1" applyFill="1"/>
    <xf numFmtId="0" fontId="0" fillId="0" borderId="0" xfId="0" applyFont="1" applyFill="1" applyAlignment="1">
      <alignment horizontal="centerContinuous"/>
    </xf>
    <xf numFmtId="0" fontId="19" fillId="0" borderId="0" xfId="1" applyFont="1" applyFill="1" applyBorder="1" applyAlignment="1">
      <alignment horizontal="centerContinuous" vertical="center"/>
    </xf>
    <xf numFmtId="0" fontId="2" fillId="0" borderId="0" xfId="0" applyFont="1" applyFill="1"/>
    <xf numFmtId="0" fontId="2" fillId="0" borderId="0" xfId="0" applyFont="1" applyFill="1" applyAlignment="1">
      <alignment horizontal="centerContinuous"/>
    </xf>
    <xf numFmtId="0" fontId="19" fillId="0" borderId="0" xfId="1" applyFont="1" applyFill="1" applyBorder="1" applyAlignment="1">
      <alignment horizontal="center" vertical="center"/>
    </xf>
    <xf numFmtId="0" fontId="2" fillId="0" borderId="1" xfId="0" applyFont="1" applyFill="1" applyBorder="1" applyAlignment="1">
      <alignment horizontal="left" indent="1"/>
    </xf>
    <xf numFmtId="170" fontId="2" fillId="0" borderId="1" xfId="0" applyNumberFormat="1" applyFont="1" applyFill="1" applyBorder="1"/>
    <xf numFmtId="0" fontId="2" fillId="0" borderId="2" xfId="0" applyFont="1" applyFill="1" applyBorder="1" applyAlignment="1">
      <alignment horizontal="left" wrapText="1"/>
    </xf>
    <xf numFmtId="0" fontId="0" fillId="2" borderId="0" xfId="0" applyFont="1" applyFill="1" applyBorder="1" applyAlignment="1">
      <alignment horizontal="left"/>
    </xf>
    <xf numFmtId="0" fontId="9" fillId="2" borderId="0" xfId="4" applyFill="1" applyAlignment="1" applyProtection="1"/>
    <xf numFmtId="0" fontId="0" fillId="2" borderId="0" xfId="0" applyFill="1"/>
    <xf numFmtId="170" fontId="19" fillId="0" borderId="0" xfId="0" applyNumberFormat="1" applyFont="1" applyFill="1" applyBorder="1"/>
    <xf numFmtId="170" fontId="0" fillId="2" borderId="0" xfId="0" applyNumberFormat="1" applyFont="1" applyFill="1" applyBorder="1"/>
    <xf numFmtId="170" fontId="2" fillId="2" borderId="0" xfId="0" applyNumberFormat="1" applyFont="1" applyFill="1" applyBorder="1"/>
    <xf numFmtId="170" fontId="2" fillId="2" borderId="2" xfId="0" applyNumberFormat="1" applyFont="1" applyFill="1" applyBorder="1"/>
    <xf numFmtId="0" fontId="2" fillId="0" borderId="0" xfId="0" applyFont="1" applyAlignment="1">
      <alignment horizontal="center"/>
    </xf>
    <xf numFmtId="0" fontId="0" fillId="0" borderId="0" xfId="0" applyAlignment="1">
      <alignment horizontal="center"/>
    </xf>
    <xf numFmtId="0" fontId="0" fillId="0" borderId="2" xfId="0" applyBorder="1"/>
    <xf numFmtId="0" fontId="0" fillId="0" borderId="0" xfId="0"/>
    <xf numFmtId="0" fontId="2" fillId="2" borderId="0" xfId="0" applyFont="1" applyFill="1" applyBorder="1" applyAlignment="1">
      <alignment horizontal="left" wrapText="1"/>
    </xf>
    <xf numFmtId="0" fontId="2" fillId="2" borderId="0" xfId="0" applyFont="1" applyFill="1" applyAlignment="1">
      <alignment wrapText="1"/>
    </xf>
    <xf numFmtId="0" fontId="34" fillId="0" borderId="0" xfId="0" applyFont="1" applyBorder="1" applyAlignment="1"/>
    <xf numFmtId="0" fontId="0" fillId="0" borderId="0" xfId="0" applyBorder="1" applyAlignment="1">
      <alignment horizontal="center"/>
    </xf>
    <xf numFmtId="0" fontId="0" fillId="0" borderId="0" xfId="0" applyBorder="1"/>
    <xf numFmtId="0" fontId="32" fillId="0" borderId="0" xfId="0" applyFont="1" applyFill="1" applyBorder="1"/>
    <xf numFmtId="0" fontId="35" fillId="0" borderId="0" xfId="0" applyFont="1" applyFill="1" applyBorder="1"/>
    <xf numFmtId="0" fontId="35" fillId="0" borderId="0" xfId="0" applyFont="1" applyFill="1" applyBorder="1" applyAlignment="1"/>
    <xf numFmtId="0" fontId="32" fillId="0" borderId="0" xfId="0" applyFont="1" applyFill="1" applyBorder="1" applyAlignment="1"/>
    <xf numFmtId="0" fontId="35" fillId="0" borderId="0" xfId="0" applyFont="1" applyFill="1" applyBorder="1" applyAlignment="1">
      <alignment wrapText="1"/>
    </xf>
    <xf numFmtId="0" fontId="32" fillId="0" borderId="0" xfId="0" applyFont="1" applyFill="1" applyBorder="1" applyAlignment="1">
      <alignment wrapText="1"/>
    </xf>
    <xf numFmtId="0" fontId="2" fillId="0" borderId="0" xfId="0" applyFont="1" applyBorder="1"/>
    <xf numFmtId="0" fontId="19" fillId="0" borderId="0" xfId="0" applyFont="1" applyFill="1" applyBorder="1" applyAlignment="1">
      <alignment horizontal="right" wrapText="1"/>
    </xf>
    <xf numFmtId="2" fontId="34" fillId="0" borderId="0" xfId="0" applyNumberFormat="1" applyFont="1" applyBorder="1" applyAlignment="1">
      <alignment horizontal="right"/>
    </xf>
    <xf numFmtId="0" fontId="34" fillId="0" borderId="0" xfId="0" applyFont="1" applyBorder="1"/>
    <xf numFmtId="0" fontId="36" fillId="0" borderId="0" xfId="0" applyFont="1" applyAlignment="1">
      <alignment horizontal="left"/>
    </xf>
    <xf numFmtId="43" fontId="0" fillId="0" borderId="0" xfId="0" applyNumberFormat="1"/>
    <xf numFmtId="0" fontId="34" fillId="0" borderId="0" xfId="0" applyFont="1" applyAlignment="1">
      <alignment horizontal="left" indent="1"/>
    </xf>
    <xf numFmtId="0" fontId="21" fillId="2" borderId="0" xfId="1" applyFont="1" applyFill="1" applyAlignment="1">
      <alignment horizontal="centerContinuous"/>
    </xf>
    <xf numFmtId="0" fontId="34" fillId="0" borderId="0" xfId="0" applyFont="1" applyAlignment="1">
      <alignment horizontal="left"/>
    </xf>
    <xf numFmtId="0" fontId="34" fillId="0" borderId="0" xfId="0" applyFont="1" applyAlignment="1">
      <alignment horizontal="left" wrapText="1"/>
    </xf>
    <xf numFmtId="2" fontId="36" fillId="0" borderId="0" xfId="0" applyNumberFormat="1" applyFont="1" applyAlignment="1">
      <alignment horizontal="center"/>
    </xf>
    <xf numFmtId="2" fontId="34" fillId="0" borderId="0" xfId="0" applyNumberFormat="1" applyFont="1" applyAlignment="1">
      <alignment horizontal="center"/>
    </xf>
    <xf numFmtId="0" fontId="36" fillId="0" borderId="2" xfId="0" applyFont="1" applyBorder="1" applyAlignment="1">
      <alignment horizontal="left"/>
    </xf>
    <xf numFmtId="2" fontId="36" fillId="0" borderId="2" xfId="0" applyNumberFormat="1" applyFont="1" applyBorder="1" applyAlignment="1">
      <alignment horizontal="center"/>
    </xf>
    <xf numFmtId="0" fontId="2" fillId="0" borderId="0" xfId="0" applyFont="1" applyAlignment="1">
      <alignment horizontal="left"/>
    </xf>
    <xf numFmtId="0" fontId="2" fillId="0" borderId="0" xfId="0" applyFont="1" applyBorder="1" applyAlignment="1">
      <alignment horizontal="left"/>
    </xf>
    <xf numFmtId="0" fontId="33" fillId="2" borderId="2" xfId="0" applyFont="1" applyFill="1" applyBorder="1" applyAlignment="1">
      <alignment horizontal="left"/>
    </xf>
    <xf numFmtId="0" fontId="6" fillId="2" borderId="2" xfId="0" applyFont="1" applyFill="1" applyBorder="1"/>
    <xf numFmtId="0" fontId="0" fillId="2" borderId="0" xfId="0" applyFill="1" applyAlignment="1">
      <alignment horizontal="left"/>
    </xf>
    <xf numFmtId="171" fontId="0" fillId="0" borderId="0" xfId="0" applyNumberFormat="1"/>
    <xf numFmtId="43" fontId="2" fillId="2" borderId="0" xfId="0" applyNumberFormat="1" applyFont="1" applyFill="1" applyBorder="1" applyAlignment="1">
      <alignment wrapText="1"/>
    </xf>
    <xf numFmtId="0" fontId="33" fillId="0" borderId="2" xfId="0" applyFont="1" applyBorder="1" applyAlignment="1">
      <alignment horizontal="left"/>
    </xf>
    <xf numFmtId="171" fontId="0" fillId="0" borderId="0" xfId="0" applyNumberFormat="1" applyAlignment="1">
      <alignment horizontal="center"/>
    </xf>
    <xf numFmtId="43" fontId="0" fillId="0" borderId="0" xfId="0" applyNumberFormat="1" applyAlignment="1">
      <alignment horizontal="center"/>
    </xf>
    <xf numFmtId="43" fontId="2" fillId="0" borderId="0" xfId="0" applyNumberFormat="1" applyFont="1" applyAlignment="1">
      <alignment horizontal="center"/>
    </xf>
    <xf numFmtId="0" fontId="2" fillId="2" borderId="0" xfId="0" applyFont="1" applyFill="1" applyBorder="1" applyAlignment="1">
      <alignment horizontal="center" wrapText="1"/>
    </xf>
    <xf numFmtId="43" fontId="2" fillId="2" borderId="0" xfId="0" applyNumberFormat="1" applyFont="1" applyFill="1" applyBorder="1" applyAlignment="1">
      <alignment horizontal="center" wrapText="1"/>
    </xf>
    <xf numFmtId="43" fontId="2" fillId="2" borderId="2" xfId="0" applyNumberFormat="1" applyFont="1" applyFill="1" applyBorder="1" applyAlignment="1">
      <alignment horizontal="center" wrapText="1"/>
    </xf>
    <xf numFmtId="0" fontId="0" fillId="0" borderId="1" xfId="0" applyFont="1" applyBorder="1" applyAlignment="1"/>
    <xf numFmtId="0" fontId="0" fillId="2" borderId="0" xfId="0" applyFont="1" applyFill="1" applyBorder="1" applyAlignment="1">
      <alignment horizontal="centerContinuous"/>
    </xf>
    <xf numFmtId="0" fontId="2" fillId="4" borderId="0" xfId="0" applyFont="1" applyFill="1" applyBorder="1" applyAlignment="1">
      <alignment horizontal="center"/>
    </xf>
    <xf numFmtId="0" fontId="2" fillId="3" borderId="0" xfId="0" applyFont="1" applyFill="1" applyBorder="1" applyAlignment="1"/>
    <xf numFmtId="10" fontId="2" fillId="3" borderId="0" xfId="0" applyNumberFormat="1" applyFont="1" applyFill="1" applyBorder="1" applyAlignment="1">
      <alignment horizontal="center"/>
    </xf>
    <xf numFmtId="2" fontId="0" fillId="2" borderId="0" xfId="0" applyNumberFormat="1" applyFont="1" applyFill="1" applyAlignment="1">
      <alignment horizontal="centerContinuous"/>
    </xf>
    <xf numFmtId="2" fontId="0" fillId="0" borderId="0" xfId="252" applyNumberFormat="1" applyFont="1" applyFill="1" applyBorder="1" applyAlignment="1">
      <alignment horizontal="right"/>
    </xf>
    <xf numFmtId="2" fontId="2" fillId="0" borderId="0" xfId="252" applyNumberFormat="1" applyFont="1" applyFill="1" applyBorder="1" applyAlignment="1">
      <alignment horizontal="right"/>
    </xf>
    <xf numFmtId="2" fontId="2" fillId="0" borderId="2" xfId="252" applyNumberFormat="1" applyFont="1" applyFill="1" applyBorder="1" applyAlignment="1">
      <alignment horizontal="right"/>
    </xf>
    <xf numFmtId="0" fontId="22" fillId="0" borderId="0" xfId="4" applyFont="1" applyAlignment="1" applyProtection="1"/>
    <xf numFmtId="0" fontId="0" fillId="0" borderId="0" xfId="0" applyAlignment="1">
      <alignment horizontal="center"/>
    </xf>
    <xf numFmtId="0" fontId="0" fillId="0" borderId="1" xfId="0" applyBorder="1"/>
    <xf numFmtId="0" fontId="0" fillId="0" borderId="0" xfId="0"/>
    <xf numFmtId="0" fontId="2" fillId="2" borderId="0" xfId="0" applyFont="1" applyFill="1" applyBorder="1" applyAlignment="1">
      <alignment horizontal="left" wrapText="1"/>
    </xf>
    <xf numFmtId="43" fontId="0" fillId="2" borderId="0" xfId="3" applyFont="1" applyFill="1" applyBorder="1" applyAlignment="1">
      <alignment horizontal="right"/>
    </xf>
    <xf numFmtId="43" fontId="0" fillId="2" borderId="0" xfId="3" applyFont="1" applyFill="1" applyBorder="1" applyAlignment="1">
      <alignment horizontal="center"/>
    </xf>
    <xf numFmtId="43" fontId="0" fillId="4" borderId="0" xfId="3" applyFont="1" applyFill="1" applyBorder="1" applyAlignment="1">
      <alignment horizontal="center"/>
    </xf>
    <xf numFmtId="43" fontId="2" fillId="2" borderId="0" xfId="3" applyFont="1" applyFill="1" applyBorder="1" applyAlignment="1">
      <alignment horizontal="right"/>
    </xf>
    <xf numFmtId="43" fontId="2" fillId="2" borderId="0" xfId="3" applyFont="1" applyFill="1" applyBorder="1" applyAlignment="1">
      <alignment horizontal="center"/>
    </xf>
    <xf numFmtId="43" fontId="2" fillId="4" borderId="0" xfId="3" applyFont="1" applyFill="1" applyBorder="1" applyAlignment="1">
      <alignment horizontal="center"/>
    </xf>
    <xf numFmtId="43" fontId="2" fillId="3" borderId="2" xfId="3" applyFont="1" applyFill="1" applyBorder="1" applyAlignment="1">
      <alignment horizontal="right"/>
    </xf>
    <xf numFmtId="43" fontId="2" fillId="3" borderId="2" xfId="3" applyFont="1" applyFill="1" applyBorder="1" applyAlignment="1">
      <alignment horizontal="center"/>
    </xf>
    <xf numFmtId="0" fontId="0" fillId="0" borderId="1" xfId="0" applyBorder="1"/>
    <xf numFmtId="0" fontId="0" fillId="0" borderId="0" xfId="0"/>
    <xf numFmtId="0" fontId="37" fillId="0" borderId="0" xfId="0" applyFont="1" applyAlignment="1">
      <alignment horizontal="center"/>
    </xf>
    <xf numFmtId="166" fontId="0" fillId="0" borderId="0" xfId="0" applyNumberFormat="1"/>
    <xf numFmtId="0" fontId="33" fillId="2" borderId="2" xfId="0" applyFont="1" applyFill="1" applyBorder="1" applyAlignment="1"/>
    <xf numFmtId="0" fontId="2" fillId="0" borderId="0" xfId="0" applyFont="1" applyFill="1" applyBorder="1" applyAlignment="1">
      <alignment horizontal="center"/>
    </xf>
    <xf numFmtId="0" fontId="2" fillId="0" borderId="0" xfId="0" applyFont="1" applyFill="1" applyBorder="1" applyAlignment="1">
      <alignment horizontal="right"/>
    </xf>
    <xf numFmtId="0" fontId="19" fillId="2" borderId="0" xfId="1" applyFont="1" applyFill="1" applyBorder="1" applyAlignment="1"/>
    <xf numFmtId="0" fontId="19" fillId="2" borderId="0" xfId="1" applyFont="1" applyFill="1" applyAlignment="1"/>
    <xf numFmtId="2" fontId="37" fillId="0" borderId="0" xfId="0" applyNumberFormat="1" applyFont="1" applyAlignment="1">
      <alignment horizontal="right"/>
    </xf>
    <xf numFmtId="2" fontId="0" fillId="0" borderId="0" xfId="0" applyNumberFormat="1" applyAlignment="1">
      <alignment horizontal="right"/>
    </xf>
    <xf numFmtId="2" fontId="0" fillId="0" borderId="0" xfId="0" applyNumberFormat="1" applyFont="1" applyAlignment="1">
      <alignment horizontal="right"/>
    </xf>
    <xf numFmtId="2" fontId="37" fillId="0" borderId="2" xfId="0" applyNumberFormat="1" applyFont="1" applyBorder="1" applyAlignment="1">
      <alignment horizontal="right"/>
    </xf>
    <xf numFmtId="0" fontId="21" fillId="2" borderId="0" xfId="1" applyFont="1" applyFill="1" applyAlignment="1"/>
    <xf numFmtId="0" fontId="33" fillId="2" borderId="2" xfId="0" applyFont="1" applyFill="1" applyBorder="1"/>
    <xf numFmtId="167" fontId="0" fillId="2" borderId="0" xfId="0" applyNumberFormat="1" applyFont="1" applyFill="1" applyBorder="1"/>
    <xf numFmtId="167" fontId="0" fillId="2" borderId="0" xfId="0" applyNumberFormat="1" applyFont="1" applyFill="1" applyBorder="1" applyAlignment="1">
      <alignment horizontal="centerContinuous"/>
    </xf>
    <xf numFmtId="0" fontId="0" fillId="2" borderId="0" xfId="0" applyFont="1" applyFill="1" applyAlignment="1">
      <alignment horizontal="center" wrapText="1"/>
    </xf>
    <xf numFmtId="0" fontId="0" fillId="0" borderId="0" xfId="0" applyFont="1" applyAlignment="1">
      <alignment horizontal="left" indent="1"/>
    </xf>
    <xf numFmtId="0" fontId="0" fillId="0" borderId="0" xfId="0" applyFont="1" applyAlignment="1">
      <alignment horizontal="left" wrapText="1"/>
    </xf>
    <xf numFmtId="0" fontId="0" fillId="0" borderId="0" xfId="0" applyFont="1" applyAlignment="1">
      <alignment horizontal="left"/>
    </xf>
    <xf numFmtId="0" fontId="20" fillId="0" borderId="0" xfId="0" applyFont="1" applyFill="1" applyBorder="1" applyAlignment="1"/>
    <xf numFmtId="0" fontId="20" fillId="0" borderId="0" xfId="0" applyFont="1" applyFill="1" applyBorder="1" applyAlignment="1">
      <alignment wrapText="1"/>
    </xf>
    <xf numFmtId="0" fontId="6" fillId="7" borderId="0" xfId="0" applyFont="1" applyFill="1" applyBorder="1"/>
    <xf numFmtId="0" fontId="6" fillId="0" borderId="0" xfId="0" applyFont="1" applyFill="1" applyBorder="1" applyAlignment="1"/>
    <xf numFmtId="172" fontId="0" fillId="0" borderId="0" xfId="0" applyNumberFormat="1"/>
    <xf numFmtId="0" fontId="20" fillId="0" borderId="2" xfId="0" applyFont="1" applyFill="1" applyBorder="1" applyAlignment="1"/>
    <xf numFmtId="0" fontId="6" fillId="0" borderId="0" xfId="0" applyFont="1" applyBorder="1"/>
    <xf numFmtId="43" fontId="37" fillId="0" borderId="2" xfId="0" applyNumberFormat="1" applyFont="1" applyBorder="1"/>
    <xf numFmtId="43" fontId="2" fillId="0" borderId="2" xfId="0" applyNumberFormat="1" applyFont="1" applyBorder="1"/>
    <xf numFmtId="172" fontId="2" fillId="0" borderId="2" xfId="0" applyNumberFormat="1" applyFont="1" applyBorder="1"/>
    <xf numFmtId="171" fontId="2" fillId="0" borderId="2" xfId="0" applyNumberFormat="1" applyFont="1" applyBorder="1"/>
    <xf numFmtId="0" fontId="39" fillId="0" borderId="2" xfId="0" applyFont="1" applyFill="1" applyBorder="1" applyAlignment="1"/>
    <xf numFmtId="0" fontId="0" fillId="7" borderId="0" xfId="0" applyFill="1" applyBorder="1"/>
    <xf numFmtId="2" fontId="0" fillId="0" borderId="1" xfId="0" applyNumberFormat="1" applyBorder="1"/>
    <xf numFmtId="0" fontId="21" fillId="2" borderId="0" xfId="1" applyFont="1" applyFill="1" applyBorder="1" applyAlignment="1">
      <alignment horizontal="centerContinuous" wrapText="1"/>
    </xf>
    <xf numFmtId="2" fontId="2" fillId="0" borderId="0" xfId="0" applyNumberFormat="1" applyFont="1" applyAlignment="1">
      <alignment horizontal="right"/>
    </xf>
    <xf numFmtId="2" fontId="6" fillId="0" borderId="0" xfId="0" applyNumberFormat="1" applyFont="1" applyAlignment="1">
      <alignment horizontal="right"/>
    </xf>
    <xf numFmtId="2" fontId="6" fillId="0" borderId="2" xfId="0" applyNumberFormat="1" applyFont="1" applyBorder="1" applyAlignment="1">
      <alignment horizontal="right"/>
    </xf>
    <xf numFmtId="0" fontId="5" fillId="0" borderId="2" xfId="0" applyFont="1" applyFill="1" applyBorder="1"/>
    <xf numFmtId="0" fontId="5" fillId="0" borderId="0" xfId="0" applyFont="1" applyFill="1" applyBorder="1"/>
    <xf numFmtId="164" fontId="5" fillId="0" borderId="0" xfId="3" applyNumberFormat="1" applyFont="1" applyFill="1" applyBorder="1"/>
    <xf numFmtId="0" fontId="5" fillId="0" borderId="0" xfId="6" applyFont="1" applyFill="1" applyBorder="1" applyAlignment="1"/>
    <xf numFmtId="0" fontId="34" fillId="0" borderId="0" xfId="0" applyFont="1"/>
    <xf numFmtId="0" fontId="35" fillId="0" borderId="2" xfId="0" applyFont="1" applyFill="1" applyBorder="1"/>
    <xf numFmtId="0" fontId="35" fillId="0" borderId="2" xfId="0" applyFont="1" applyFill="1" applyBorder="1" applyAlignment="1">
      <alignment wrapText="1"/>
    </xf>
    <xf numFmtId="0" fontId="19" fillId="0" borderId="1" xfId="0" applyFont="1" applyFill="1" applyBorder="1"/>
    <xf numFmtId="164" fontId="19" fillId="0" borderId="1" xfId="0" applyNumberFormat="1" applyFont="1" applyFill="1" applyBorder="1" applyAlignment="1"/>
    <xf numFmtId="3" fontId="2" fillId="0" borderId="0" xfId="0" applyNumberFormat="1" applyFont="1" applyAlignment="1"/>
    <xf numFmtId="164" fontId="19" fillId="0" borderId="0" xfId="3" applyNumberFormat="1" applyFont="1" applyFill="1" applyBorder="1" applyAlignment="1"/>
    <xf numFmtId="164" fontId="32" fillId="0" borderId="0" xfId="3" applyNumberFormat="1" applyFont="1" applyFill="1" applyBorder="1" applyAlignment="1"/>
    <xf numFmtId="3" fontId="36" fillId="0" borderId="0" xfId="0" applyNumberFormat="1" applyFont="1" applyAlignment="1"/>
    <xf numFmtId="164" fontId="35" fillId="0" borderId="0" xfId="3" applyNumberFormat="1" applyFont="1" applyFill="1" applyBorder="1" applyAlignment="1"/>
    <xf numFmtId="3" fontId="34" fillId="0" borderId="0" xfId="0" applyNumberFormat="1" applyFont="1" applyAlignment="1"/>
    <xf numFmtId="164" fontId="35" fillId="0" borderId="2" xfId="3" applyNumberFormat="1" applyFont="1" applyFill="1" applyBorder="1" applyAlignment="1"/>
    <xf numFmtId="3" fontId="34" fillId="0" borderId="2" xfId="0" applyNumberFormat="1" applyFont="1" applyBorder="1" applyAlignment="1"/>
    <xf numFmtId="0" fontId="22" fillId="0" borderId="0" xfId="4" applyFont="1" applyAlignment="1" applyProtection="1"/>
    <xf numFmtId="0" fontId="0" fillId="0" borderId="2" xfId="0" applyBorder="1"/>
    <xf numFmtId="0" fontId="0" fillId="0" borderId="0" xfId="0"/>
    <xf numFmtId="0" fontId="0" fillId="2" borderId="0" xfId="0" applyFill="1" applyBorder="1" applyAlignment="1"/>
    <xf numFmtId="10" fontId="0" fillId="2" borderId="0" xfId="0" applyNumberFormat="1" applyFont="1" applyFill="1" applyBorder="1" applyAlignment="1">
      <alignment horizontal="right"/>
    </xf>
    <xf numFmtId="10" fontId="2" fillId="2" borderId="0" xfId="0" applyNumberFormat="1" applyFont="1" applyFill="1" applyBorder="1" applyAlignment="1">
      <alignment horizontal="right"/>
    </xf>
    <xf numFmtId="0" fontId="0" fillId="2" borderId="0" xfId="0" applyFont="1" applyFill="1" applyBorder="1" applyAlignment="1">
      <alignment horizontal="right"/>
    </xf>
    <xf numFmtId="10" fontId="2" fillId="2" borderId="1" xfId="0" applyNumberFormat="1" applyFont="1" applyFill="1" applyBorder="1" applyAlignment="1">
      <alignment horizontal="right"/>
    </xf>
    <xf numFmtId="10" fontId="19" fillId="2" borderId="0" xfId="0" applyNumberFormat="1" applyFont="1" applyFill="1" applyBorder="1" applyAlignment="1">
      <alignment horizontal="right"/>
    </xf>
    <xf numFmtId="10" fontId="2" fillId="3" borderId="2" xfId="0" applyNumberFormat="1" applyFont="1" applyFill="1" applyBorder="1" applyAlignment="1">
      <alignment horizontal="right"/>
    </xf>
    <xf numFmtId="0" fontId="0" fillId="0" borderId="0" xfId="0" applyAlignment="1">
      <alignment horizontal="left"/>
    </xf>
    <xf numFmtId="165" fontId="0" fillId="2" borderId="0" xfId="0" applyNumberFormat="1" applyFont="1" applyFill="1" applyAlignment="1">
      <alignment horizontal="right"/>
    </xf>
    <xf numFmtId="166" fontId="21" fillId="2" borderId="0" xfId="1" applyNumberFormat="1" applyFont="1" applyFill="1" applyBorder="1" applyAlignment="1">
      <alignment horizontal="right"/>
    </xf>
    <xf numFmtId="165" fontId="0" fillId="2" borderId="0" xfId="0" applyNumberFormat="1" applyFont="1" applyFill="1" applyAlignment="1"/>
    <xf numFmtId="166" fontId="21" fillId="2" borderId="0" xfId="1" applyNumberFormat="1" applyFont="1" applyFill="1" applyBorder="1" applyAlignment="1"/>
    <xf numFmtId="165" fontId="19" fillId="2" borderId="2" xfId="2" applyNumberFormat="1" applyFont="1" applyFill="1" applyBorder="1" applyAlignment="1"/>
    <xf numFmtId="165" fontId="19" fillId="2" borderId="2" xfId="2" applyNumberFormat="1" applyFont="1" applyFill="1" applyBorder="1" applyAlignment="1">
      <alignment horizontal="right"/>
    </xf>
    <xf numFmtId="2" fontId="6" fillId="2" borderId="0" xfId="0" applyNumberFormat="1" applyFont="1" applyFill="1" applyAlignment="1">
      <alignment horizontal="right"/>
    </xf>
    <xf numFmtId="2" fontId="2" fillId="3" borderId="2" xfId="3" applyNumberFormat="1" applyFont="1" applyFill="1" applyBorder="1" applyAlignment="1">
      <alignment horizontal="right"/>
    </xf>
    <xf numFmtId="2" fontId="21" fillId="2" borderId="0" xfId="0" applyNumberFormat="1" applyFont="1" applyFill="1" applyAlignment="1">
      <alignment horizontal="center"/>
    </xf>
    <xf numFmtId="2" fontId="0" fillId="2" borderId="2" xfId="0" applyNumberFormat="1" applyFont="1" applyFill="1" applyBorder="1" applyAlignment="1">
      <alignment horizontal="center"/>
    </xf>
    <xf numFmtId="0" fontId="0" fillId="2" borderId="0" xfId="0" applyFont="1" applyFill="1" applyBorder="1" applyAlignment="1">
      <alignment horizontal="centerContinuous" wrapText="1"/>
    </xf>
    <xf numFmtId="0" fontId="22" fillId="0" borderId="0" xfId="4" applyFont="1" applyAlignment="1" applyProtection="1"/>
    <xf numFmtId="0" fontId="8" fillId="2" borderId="0" xfId="4" applyNumberFormat="1" applyFont="1" applyFill="1" applyAlignment="1" applyProtection="1"/>
    <xf numFmtId="0" fontId="0" fillId="0" borderId="0" xfId="0"/>
    <xf numFmtId="0" fontId="2" fillId="2" borderId="0" xfId="0" applyFont="1" applyFill="1" applyBorder="1" applyAlignment="1">
      <alignment horizontal="left" wrapText="1"/>
    </xf>
    <xf numFmtId="0" fontId="41" fillId="0" borderId="0" xfId="0" applyFont="1"/>
    <xf numFmtId="0" fontId="42" fillId="0" borderId="0" xfId="0" applyFont="1" applyFill="1"/>
    <xf numFmtId="0" fontId="36" fillId="0" borderId="0" xfId="0" applyFont="1" applyFill="1" applyBorder="1" applyAlignment="1"/>
    <xf numFmtId="0" fontId="36" fillId="0" borderId="0" xfId="0" applyFont="1" applyFill="1" applyAlignment="1"/>
    <xf numFmtId="0" fontId="34" fillId="0" borderId="0" xfId="0" applyFont="1" applyFill="1" applyAlignment="1"/>
    <xf numFmtId="3" fontId="36" fillId="0" borderId="0" xfId="0" applyNumberFormat="1" applyFont="1"/>
    <xf numFmtId="0" fontId="38" fillId="0" borderId="0" xfId="0" applyFont="1" applyFill="1" applyAlignment="1"/>
    <xf numFmtId="0" fontId="34" fillId="0" borderId="0" xfId="0" applyFont="1" applyFill="1" applyBorder="1" applyAlignment="1"/>
    <xf numFmtId="3" fontId="34" fillId="0" borderId="0" xfId="0" applyNumberFormat="1" applyFont="1"/>
    <xf numFmtId="0" fontId="36" fillId="0" borderId="0" xfId="0" applyFont="1"/>
    <xf numFmtId="0" fontId="44" fillId="0" borderId="0" xfId="0" applyFont="1" applyFill="1" applyAlignment="1"/>
    <xf numFmtId="0" fontId="38" fillId="0" borderId="2" xfId="0" applyFont="1" applyFill="1" applyBorder="1" applyAlignment="1"/>
    <xf numFmtId="0" fontId="34" fillId="0" borderId="2" xfId="0" applyFont="1" applyFill="1" applyBorder="1" applyAlignment="1"/>
    <xf numFmtId="0" fontId="43" fillId="0" borderId="0" xfId="0" applyFont="1" applyFill="1" applyAlignment="1"/>
    <xf numFmtId="41" fontId="36" fillId="0" borderId="0" xfId="0" applyNumberFormat="1" applyFont="1" applyFill="1" applyBorder="1"/>
    <xf numFmtId="0" fontId="34" fillId="0" borderId="0" xfId="0" applyFont="1" applyFill="1"/>
    <xf numFmtId="41" fontId="34" fillId="0" borderId="0" xfId="0" applyNumberFormat="1" applyFont="1" applyFill="1" applyBorder="1"/>
    <xf numFmtId="0" fontId="38" fillId="0" borderId="0" xfId="0" applyFont="1" applyFill="1"/>
    <xf numFmtId="0" fontId="33" fillId="0" borderId="0" xfId="0" applyFont="1" applyFill="1"/>
    <xf numFmtId="0" fontId="36" fillId="0" borderId="0" xfId="0" applyFont="1" applyFill="1"/>
    <xf numFmtId="0" fontId="38" fillId="0" borderId="2" xfId="0" applyFont="1" applyFill="1" applyBorder="1"/>
    <xf numFmtId="41" fontId="34" fillId="0" borderId="2" xfId="0" applyNumberFormat="1" applyFont="1" applyFill="1" applyBorder="1"/>
    <xf numFmtId="0" fontId="33" fillId="0" borderId="0" xfId="0" applyFont="1" applyFill="1" applyBorder="1"/>
    <xf numFmtId="3" fontId="36" fillId="0" borderId="0" xfId="0" applyNumberFormat="1" applyFont="1" applyBorder="1"/>
    <xf numFmtId="0" fontId="3" fillId="5" borderId="0" xfId="13" applyFont="1" applyFill="1"/>
    <xf numFmtId="0" fontId="45" fillId="2" borderId="0" xfId="0" applyFont="1" applyFill="1" applyBorder="1" applyAlignment="1">
      <alignment horizontal="left" wrapText="1"/>
    </xf>
    <xf numFmtId="41" fontId="45" fillId="2" borderId="0" xfId="0" applyNumberFormat="1" applyFont="1" applyFill="1" applyBorder="1"/>
    <xf numFmtId="0" fontId="46" fillId="2" borderId="0" xfId="0" applyFont="1" applyFill="1" applyBorder="1" applyAlignment="1">
      <alignment horizontal="left" wrapText="1"/>
    </xf>
    <xf numFmtId="0" fontId="4" fillId="2" borderId="0" xfId="13" applyFont="1" applyFill="1" applyBorder="1" applyAlignment="1">
      <alignment wrapText="1"/>
    </xf>
    <xf numFmtId="41" fontId="46" fillId="2" borderId="0" xfId="0" applyNumberFormat="1" applyFont="1" applyFill="1" applyBorder="1" applyAlignment="1">
      <alignment horizontal="right"/>
    </xf>
    <xf numFmtId="41" fontId="45" fillId="2" borderId="0" xfId="0" applyNumberFormat="1" applyFont="1" applyFill="1" applyBorder="1" applyAlignment="1">
      <alignment horizontal="right"/>
    </xf>
    <xf numFmtId="41" fontId="4" fillId="2" borderId="0" xfId="13" applyNumberFormat="1" applyFont="1" applyFill="1" applyBorder="1" applyAlignment="1">
      <alignment horizontal="right"/>
    </xf>
    <xf numFmtId="0" fontId="45" fillId="2" borderId="2" xfId="0" applyFont="1" applyFill="1" applyBorder="1" applyAlignment="1">
      <alignment horizontal="left" wrapText="1"/>
    </xf>
    <xf numFmtId="41" fontId="45" fillId="2" borderId="2" xfId="0" applyNumberFormat="1" applyFont="1" applyFill="1" applyBorder="1" applyAlignment="1">
      <alignment horizontal="right"/>
    </xf>
    <xf numFmtId="0" fontId="7" fillId="5" borderId="0" xfId="4" applyFont="1" applyFill="1" applyAlignment="1" applyProtection="1"/>
    <xf numFmtId="41" fontId="2" fillId="2" borderId="0" xfId="0" applyNumberFormat="1" applyFont="1" applyFill="1" applyBorder="1"/>
    <xf numFmtId="0" fontId="0" fillId="2" borderId="0" xfId="0" applyFont="1" applyFill="1" applyBorder="1" applyAlignment="1">
      <alignment horizontal="left" wrapText="1"/>
    </xf>
    <xf numFmtId="41" fontId="0" fillId="2" borderId="0" xfId="0" applyNumberFormat="1" applyFont="1" applyFill="1" applyBorder="1"/>
    <xf numFmtId="0" fontId="19" fillId="2" borderId="0" xfId="13" applyFont="1" applyFill="1" applyBorder="1" applyAlignment="1">
      <alignment wrapText="1"/>
    </xf>
    <xf numFmtId="41" fontId="19" fillId="2" borderId="0" xfId="13" applyNumberFormat="1" applyFont="1" applyFill="1" applyBorder="1"/>
    <xf numFmtId="0" fontId="38" fillId="0" borderId="0" xfId="0" applyFont="1"/>
    <xf numFmtId="0" fontId="47" fillId="0" borderId="0" xfId="0" applyFont="1"/>
    <xf numFmtId="41" fontId="2" fillId="2" borderId="2" xfId="0" applyNumberFormat="1" applyFont="1" applyFill="1" applyBorder="1"/>
    <xf numFmtId="4" fontId="2" fillId="0" borderId="0" xfId="0" applyNumberFormat="1" applyFont="1"/>
    <xf numFmtId="4" fontId="0" fillId="0" borderId="0" xfId="0" applyNumberFormat="1"/>
    <xf numFmtId="0" fontId="2" fillId="3" borderId="0" xfId="0" applyFont="1" applyFill="1"/>
    <xf numFmtId="4" fontId="2" fillId="0" borderId="0" xfId="0" applyNumberFormat="1" applyFont="1" applyBorder="1"/>
    <xf numFmtId="4" fontId="0" fillId="2" borderId="0" xfId="0" applyNumberFormat="1" applyFill="1" applyBorder="1"/>
    <xf numFmtId="4" fontId="2" fillId="2" borderId="0" xfId="0" applyNumberFormat="1" applyFont="1" applyFill="1" applyBorder="1"/>
    <xf numFmtId="4" fontId="2" fillId="3" borderId="0" xfId="0" applyNumberFormat="1" applyFont="1" applyFill="1" applyBorder="1"/>
    <xf numFmtId="3" fontId="34" fillId="0" borderId="0" xfId="0" applyNumberFormat="1" applyFont="1" applyBorder="1"/>
    <xf numFmtId="3" fontId="36" fillId="3" borderId="2" xfId="0" applyNumberFormat="1" applyFont="1" applyFill="1" applyBorder="1"/>
    <xf numFmtId="0" fontId="45" fillId="2" borderId="0" xfId="0" applyFont="1" applyFill="1" applyBorder="1" applyAlignment="1">
      <alignment wrapText="1"/>
    </xf>
    <xf numFmtId="0" fontId="46" fillId="2" borderId="0" xfId="0" applyFont="1" applyFill="1" applyBorder="1" applyAlignment="1"/>
    <xf numFmtId="0" fontId="45" fillId="2" borderId="0" xfId="0" applyFont="1" applyFill="1" applyBorder="1" applyAlignment="1"/>
    <xf numFmtId="0" fontId="45" fillId="2" borderId="2" xfId="0" applyFont="1" applyFill="1" applyBorder="1" applyAlignment="1"/>
    <xf numFmtId="0" fontId="46" fillId="0" borderId="0" xfId="0" applyFont="1"/>
    <xf numFmtId="0" fontId="45" fillId="0" borderId="0" xfId="0" applyFont="1" applyBorder="1" applyAlignment="1">
      <alignment horizontal="left"/>
    </xf>
    <xf numFmtId="0" fontId="45" fillId="0" borderId="0" xfId="0" applyFont="1" applyAlignment="1">
      <alignment horizontal="left" indent="1"/>
    </xf>
    <xf numFmtId="0" fontId="46" fillId="0" borderId="0" xfId="0" applyFont="1" applyAlignment="1">
      <alignment horizontal="left" indent="2"/>
    </xf>
    <xf numFmtId="0" fontId="45" fillId="0" borderId="4" xfId="0" applyFont="1" applyBorder="1" applyAlignment="1">
      <alignment horizontal="left"/>
    </xf>
    <xf numFmtId="0" fontId="45" fillId="3" borderId="6" xfId="0" applyFont="1" applyFill="1" applyBorder="1" applyAlignment="1">
      <alignment horizontal="left"/>
    </xf>
    <xf numFmtId="0" fontId="45" fillId="3" borderId="2" xfId="0" applyFont="1" applyFill="1" applyBorder="1" applyAlignment="1">
      <alignment horizontal="left"/>
    </xf>
    <xf numFmtId="0" fontId="0" fillId="0" borderId="0" xfId="0"/>
    <xf numFmtId="0" fontId="21" fillId="2" borderId="0" xfId="0" applyFont="1" applyFill="1"/>
    <xf numFmtId="0" fontId="19" fillId="2" borderId="0" xfId="0" applyFont="1" applyFill="1"/>
    <xf numFmtId="0" fontId="19" fillId="2" borderId="0" xfId="0" applyFont="1" applyFill="1" applyAlignment="1">
      <alignment horizontal="centerContinuous"/>
    </xf>
    <xf numFmtId="0" fontId="21" fillId="2" borderId="0" xfId="4" applyFont="1" applyFill="1" applyAlignment="1" applyProtection="1"/>
    <xf numFmtId="0" fontId="21" fillId="2" borderId="0" xfId="4" applyFont="1" applyFill="1" applyAlignment="1" applyProtection="1">
      <alignment horizontal="left"/>
    </xf>
    <xf numFmtId="0" fontId="21" fillId="0" borderId="0" xfId="0" applyFont="1"/>
    <xf numFmtId="0" fontId="48" fillId="0" borderId="0" xfId="0" applyFont="1" applyAlignment="1">
      <alignment horizontal="centerContinuous"/>
    </xf>
    <xf numFmtId="0" fontId="47" fillId="0" borderId="0" xfId="0" applyFont="1" applyAlignment="1">
      <alignment horizontal="centerContinuous"/>
    </xf>
    <xf numFmtId="0" fontId="38" fillId="0" borderId="0" xfId="0" applyFont="1" applyAlignment="1">
      <alignment horizontal="centerContinuous"/>
    </xf>
    <xf numFmtId="0" fontId="0" fillId="0" borderId="0" xfId="0" applyAlignment="1">
      <alignment horizontal="centerContinuous"/>
    </xf>
    <xf numFmtId="0" fontId="40" fillId="0" borderId="0" xfId="0" applyFont="1" applyAlignment="1">
      <alignment horizontal="right"/>
    </xf>
    <xf numFmtId="0" fontId="49" fillId="0" borderId="0" xfId="0" applyFont="1" applyAlignment="1">
      <alignment horizontal="right"/>
    </xf>
    <xf numFmtId="0" fontId="19" fillId="2" borderId="0" xfId="0" applyFont="1" applyFill="1" applyAlignment="1">
      <alignment horizontal="left"/>
    </xf>
    <xf numFmtId="0" fontId="50" fillId="2" borderId="0" xfId="0" applyFont="1" applyFill="1" applyAlignment="1">
      <alignment horizontal="centerContinuous"/>
    </xf>
    <xf numFmtId="0" fontId="51" fillId="0" borderId="0" xfId="0" applyFont="1" applyAlignment="1">
      <alignment horizontal="centerContinuous"/>
    </xf>
    <xf numFmtId="0" fontId="50" fillId="0" borderId="0" xfId="0" applyFont="1" applyAlignment="1">
      <alignment horizontal="centerContinuous"/>
    </xf>
    <xf numFmtId="0" fontId="19" fillId="0" borderId="0" xfId="4" applyFont="1" applyFill="1" applyBorder="1" applyAlignment="1" applyProtection="1">
      <alignment vertical="center"/>
    </xf>
    <xf numFmtId="0" fontId="21" fillId="0" borderId="0" xfId="0" applyFont="1" applyFill="1"/>
    <xf numFmtId="0" fontId="19" fillId="0" borderId="0" xfId="0" applyFont="1" applyFill="1" applyBorder="1" applyAlignment="1">
      <alignment horizontal="centerContinuous"/>
    </xf>
    <xf numFmtId="0" fontId="21" fillId="0" borderId="0" xfId="0" applyFont="1" applyFill="1" applyBorder="1" applyAlignment="1">
      <alignment horizontal="centerContinuous"/>
    </xf>
    <xf numFmtId="0" fontId="19" fillId="0" borderId="0" xfId="0" applyFont="1" applyFill="1" applyBorder="1" applyAlignment="1">
      <alignment horizontal="centerContinuous" vertical="center"/>
    </xf>
    <xf numFmtId="0" fontId="21" fillId="2" borderId="0" xfId="0" applyFont="1" applyFill="1" applyAlignment="1"/>
    <xf numFmtId="0" fontId="19" fillId="0" borderId="0" xfId="0" applyFont="1" applyFill="1" applyBorder="1" applyAlignment="1">
      <alignment horizontal="left" indent="1"/>
    </xf>
    <xf numFmtId="164" fontId="19" fillId="0" borderId="0" xfId="0" applyNumberFormat="1" applyFont="1" applyFill="1" applyBorder="1"/>
    <xf numFmtId="0" fontId="21" fillId="0" borderId="0" xfId="0" applyFont="1" applyFill="1" applyBorder="1" applyAlignment="1">
      <alignment horizontal="left" indent="2"/>
    </xf>
    <xf numFmtId="170" fontId="21" fillId="0" borderId="0" xfId="0" applyNumberFormat="1" applyFont="1" applyFill="1" applyBorder="1"/>
    <xf numFmtId="0" fontId="19" fillId="0" borderId="0" xfId="0" applyFont="1" applyFill="1" applyBorder="1" applyAlignment="1">
      <alignment horizontal="left"/>
    </xf>
    <xf numFmtId="0" fontId="19" fillId="0" borderId="2" xfId="0" applyFont="1" applyFill="1" applyBorder="1" applyAlignment="1">
      <alignment horizontal="left" wrapText="1"/>
    </xf>
    <xf numFmtId="170" fontId="19" fillId="0" borderId="2" xfId="0" applyNumberFormat="1" applyFont="1" applyFill="1" applyBorder="1"/>
    <xf numFmtId="0" fontId="21" fillId="0" borderId="0" xfId="0" applyFont="1" applyFill="1" applyBorder="1" applyAlignment="1">
      <alignment horizontal="left"/>
    </xf>
    <xf numFmtId="0" fontId="21" fillId="0" borderId="0" xfId="0" applyFont="1" applyFill="1" applyAlignment="1">
      <alignment horizontal="centerContinuous"/>
    </xf>
    <xf numFmtId="0" fontId="19" fillId="0" borderId="0" xfId="0" applyFont="1" applyFill="1"/>
    <xf numFmtId="0" fontId="19" fillId="0" borderId="0" xfId="0" applyFont="1" applyFill="1" applyAlignment="1">
      <alignment horizontal="centerContinuous"/>
    </xf>
    <xf numFmtId="0" fontId="19" fillId="0" borderId="0" xfId="0" applyFont="1" applyFill="1" applyAlignment="1">
      <alignment horizontal="center"/>
    </xf>
    <xf numFmtId="0" fontId="21" fillId="2" borderId="0" xfId="0" applyFont="1" applyFill="1" applyBorder="1"/>
    <xf numFmtId="0" fontId="19" fillId="0" borderId="0" xfId="0" applyFont="1" applyFill="1" applyBorder="1" applyAlignment="1">
      <alignment horizontal="left" wrapText="1"/>
    </xf>
    <xf numFmtId="0" fontId="21" fillId="2" borderId="0" xfId="0" applyFont="1" applyFill="1" applyBorder="1" applyAlignment="1">
      <alignment horizontal="left"/>
    </xf>
    <xf numFmtId="164" fontId="0" fillId="0" borderId="0" xfId="0" applyNumberFormat="1" applyFont="1"/>
    <xf numFmtId="0" fontId="19" fillId="2" borderId="0" xfId="4" applyFont="1" applyFill="1" applyAlignment="1" applyProtection="1">
      <alignment horizontal="centerContinuous"/>
    </xf>
    <xf numFmtId="0" fontId="0" fillId="0" borderId="0" xfId="0" applyFont="1" applyAlignment="1"/>
    <xf numFmtId="0" fontId="34" fillId="0" borderId="0" xfId="0" applyFont="1" applyAlignment="1"/>
    <xf numFmtId="0" fontId="19" fillId="0" borderId="0" xfId="4" applyFont="1" applyAlignment="1" applyProtection="1"/>
    <xf numFmtId="0" fontId="0" fillId="0" borderId="2" xfId="0" applyBorder="1"/>
    <xf numFmtId="0" fontId="0" fillId="0" borderId="0" xfId="0"/>
    <xf numFmtId="0" fontId="0" fillId="2" borderId="0" xfId="0" applyFont="1" applyFill="1" applyAlignment="1">
      <alignment horizontal="center"/>
    </xf>
    <xf numFmtId="0" fontId="19" fillId="5" borderId="0" xfId="1" applyFont="1" applyFill="1" applyBorder="1" applyAlignment="1">
      <alignment horizontal="center"/>
    </xf>
    <xf numFmtId="0" fontId="2" fillId="2" borderId="0" xfId="0" applyFont="1" applyFill="1" applyBorder="1" applyAlignment="1">
      <alignment horizontal="left" wrapText="1"/>
    </xf>
    <xf numFmtId="0" fontId="2" fillId="0" borderId="0" xfId="0" applyFont="1" applyFill="1" applyAlignment="1">
      <alignment horizontal="center"/>
    </xf>
    <xf numFmtId="169" fontId="52" fillId="0" borderId="0" xfId="0" applyNumberFormat="1" applyFont="1" applyAlignment="1">
      <alignment horizontal="left" vertical="top"/>
    </xf>
    <xf numFmtId="169" fontId="40" fillId="0" borderId="0" xfId="0" applyNumberFormat="1" applyFont="1" applyAlignment="1">
      <alignment horizontal="left" vertical="top"/>
    </xf>
    <xf numFmtId="0" fontId="19" fillId="0" borderId="0" xfId="0" applyFont="1" applyFill="1" applyBorder="1" applyAlignment="1">
      <alignment horizontal="center" vertical="center"/>
    </xf>
    <xf numFmtId="0" fontId="2" fillId="0" borderId="0" xfId="0" applyFont="1" applyAlignment="1">
      <alignment horizontal="center"/>
    </xf>
    <xf numFmtId="0" fontId="2" fillId="0" borderId="0" xfId="0" applyFont="1" applyBorder="1" applyAlignment="1">
      <alignment horizontal="center"/>
    </xf>
    <xf numFmtId="0" fontId="0" fillId="0" borderId="0" xfId="0" applyAlignment="1">
      <alignment horizontal="center"/>
    </xf>
    <xf numFmtId="0" fontId="2" fillId="0" borderId="0" xfId="0" applyFont="1" applyAlignment="1">
      <alignment horizontal="center" wrapText="1"/>
    </xf>
    <xf numFmtId="0" fontId="2" fillId="0" borderId="0" xfId="0" applyFont="1" applyBorder="1" applyAlignment="1">
      <alignment horizontal="center" wrapText="1"/>
    </xf>
    <xf numFmtId="0" fontId="2" fillId="0" borderId="2" xfId="0" applyFont="1" applyBorder="1" applyAlignment="1">
      <alignment horizontal="center"/>
    </xf>
    <xf numFmtId="0" fontId="19" fillId="0" borderId="0" xfId="0" applyFont="1" applyFill="1" applyBorder="1" applyAlignment="1">
      <alignment horizontal="center"/>
    </xf>
    <xf numFmtId="0" fontId="8" fillId="2" borderId="0" xfId="4" applyFont="1" applyFill="1" applyAlignment="1" applyProtection="1">
      <alignment horizontal="left" vertical="center" wrapText="1"/>
    </xf>
    <xf numFmtId="0" fontId="2" fillId="2" borderId="0" xfId="0" applyFont="1" applyFill="1" applyAlignment="1">
      <alignment horizontal="center" wrapText="1"/>
    </xf>
    <xf numFmtId="0" fontId="19" fillId="2" borderId="0" xfId="1" applyFont="1" applyFill="1" applyAlignment="1">
      <alignment horizontal="center"/>
    </xf>
    <xf numFmtId="0" fontId="21" fillId="2" borderId="0" xfId="1" applyFont="1" applyFill="1" applyBorder="1" applyAlignment="1">
      <alignment horizontal="center" wrapText="1"/>
    </xf>
    <xf numFmtId="0" fontId="19" fillId="2" borderId="0" xfId="1" applyFont="1" applyFill="1" applyAlignment="1">
      <alignment horizontal="center" wrapText="1"/>
    </xf>
    <xf numFmtId="0" fontId="19" fillId="2" borderId="0" xfId="4" applyFont="1" applyFill="1" applyAlignment="1" applyProtection="1">
      <alignment horizontal="center"/>
    </xf>
    <xf numFmtId="0" fontId="2" fillId="2" borderId="0" xfId="0" applyFont="1" applyFill="1" applyAlignment="1">
      <alignment horizontal="center"/>
    </xf>
    <xf numFmtId="0" fontId="21" fillId="2" borderId="0" xfId="1" applyFont="1" applyFill="1" applyAlignment="1">
      <alignment horizontal="center"/>
    </xf>
    <xf numFmtId="0" fontId="19" fillId="2" borderId="0" xfId="1" applyFont="1" applyFill="1" applyBorder="1" applyAlignment="1">
      <alignment horizontal="center"/>
    </xf>
    <xf numFmtId="0" fontId="0" fillId="2" borderId="0" xfId="0" applyFont="1" applyFill="1" applyAlignment="1">
      <alignment horizontal="center"/>
    </xf>
    <xf numFmtId="0" fontId="20" fillId="7" borderId="0" xfId="0" applyFont="1" applyFill="1" applyBorder="1" applyAlignment="1">
      <alignment horizontal="center" wrapText="1"/>
    </xf>
    <xf numFmtId="0" fontId="19" fillId="7" borderId="0" xfId="163" applyFont="1" applyFill="1" applyBorder="1" applyAlignment="1">
      <alignment horizontal="center"/>
    </xf>
    <xf numFmtId="0" fontId="19" fillId="5" borderId="0" xfId="1" applyFont="1" applyFill="1" applyBorder="1" applyAlignment="1">
      <alignment horizontal="center"/>
    </xf>
    <xf numFmtId="0" fontId="0" fillId="7" borderId="0" xfId="0" applyFill="1" applyBorder="1" applyAlignment="1">
      <alignment horizontal="left" wrapText="1"/>
    </xf>
    <xf numFmtId="0" fontId="0" fillId="0" borderId="0" xfId="0" applyFont="1" applyAlignment="1">
      <alignment horizontal="left" wrapText="1"/>
    </xf>
    <xf numFmtId="0" fontId="19" fillId="2" borderId="0" xfId="1" applyNumberFormat="1" applyFont="1" applyFill="1" applyAlignment="1">
      <alignment horizontal="center"/>
    </xf>
    <xf numFmtId="0" fontId="8" fillId="2" borderId="0" xfId="4" applyNumberFormat="1" applyFont="1" applyFill="1" applyAlignment="1" applyProtection="1">
      <alignment horizontal="left"/>
    </xf>
    <xf numFmtId="0" fontId="2" fillId="2" borderId="0" xfId="0" applyFont="1" applyFill="1" applyBorder="1" applyAlignment="1">
      <alignment horizontal="center"/>
    </xf>
    <xf numFmtId="0" fontId="2" fillId="2" borderId="0" xfId="0" applyFont="1" applyFill="1" applyBorder="1" applyAlignment="1">
      <alignment horizontal="left" wrapText="1"/>
    </xf>
    <xf numFmtId="0" fontId="2" fillId="0" borderId="0" xfId="0" applyFont="1" applyFill="1" applyAlignment="1">
      <alignment horizontal="center"/>
    </xf>
    <xf numFmtId="0" fontId="19" fillId="0" borderId="0" xfId="4" applyFont="1" applyFill="1" applyBorder="1" applyAlignment="1" applyProtection="1">
      <alignment horizontal="center"/>
    </xf>
    <xf numFmtId="0" fontId="21" fillId="0" borderId="0" xfId="4" applyFont="1" applyFill="1" applyBorder="1" applyAlignment="1" applyProtection="1">
      <alignment horizontal="center"/>
    </xf>
    <xf numFmtId="0" fontId="4" fillId="5" borderId="0" xfId="13" applyFont="1" applyFill="1" applyAlignment="1">
      <alignment horizontal="center"/>
    </xf>
    <xf numFmtId="0" fontId="0" fillId="0" borderId="0" xfId="0" applyBorder="1" applyAlignment="1">
      <alignment horizontal="left" wrapText="1"/>
    </xf>
    <xf numFmtId="0" fontId="19" fillId="5" borderId="0" xfId="13" applyFont="1" applyFill="1" applyAlignment="1">
      <alignment horizontal="center" wrapText="1"/>
    </xf>
    <xf numFmtId="0" fontId="53" fillId="2" borderId="0" xfId="0" applyFont="1" applyFill="1"/>
    <xf numFmtId="0" fontId="3" fillId="2" borderId="0" xfId="0" applyFont="1" applyFill="1"/>
    <xf numFmtId="0" fontId="3" fillId="2" borderId="0" xfId="0" applyFont="1" applyFill="1" applyAlignment="1">
      <alignment horizontal="centerContinuous"/>
    </xf>
    <xf numFmtId="0" fontId="3" fillId="2" borderId="0" xfId="4" applyFont="1" applyFill="1" applyAlignment="1" applyProtection="1"/>
    <xf numFmtId="0" fontId="3" fillId="2" borderId="0" xfId="4" applyFont="1" applyFill="1" applyAlignment="1" applyProtection="1">
      <alignment horizontal="left"/>
    </xf>
    <xf numFmtId="0" fontId="3" fillId="2" borderId="0" xfId="4" applyFont="1" applyFill="1" applyBorder="1" applyAlignment="1" applyProtection="1"/>
    <xf numFmtId="0" fontId="3" fillId="2" borderId="0" xfId="4" applyFont="1" applyFill="1" applyBorder="1" applyAlignment="1" applyProtection="1">
      <alignment horizontal="left"/>
    </xf>
    <xf numFmtId="0" fontId="3" fillId="0" borderId="0" xfId="4" applyFont="1" applyAlignment="1" applyProtection="1"/>
    <xf numFmtId="167" fontId="3" fillId="2" borderId="0" xfId="0" applyNumberFormat="1" applyFont="1" applyFill="1"/>
    <xf numFmtId="41" fontId="3" fillId="2" borderId="0" xfId="0" applyNumberFormat="1" applyFont="1" applyFill="1" applyBorder="1"/>
    <xf numFmtId="0" fontId="3" fillId="2" borderId="0" xfId="1" applyFont="1" applyFill="1" applyBorder="1" applyAlignment="1"/>
    <xf numFmtId="10" fontId="3" fillId="2" borderId="0" xfId="0" applyNumberFormat="1" applyFont="1" applyFill="1" applyBorder="1"/>
    <xf numFmtId="0" fontId="54" fillId="2" borderId="0" xfId="0" applyFont="1" applyFill="1"/>
    <xf numFmtId="0" fontId="3" fillId="0" borderId="0" xfId="0" applyFont="1"/>
    <xf numFmtId="0" fontId="3" fillId="2" borderId="0" xfId="4" applyFont="1" applyFill="1" applyBorder="1" applyAlignment="1" applyProtection="1">
      <alignment vertical="center" wrapText="1"/>
    </xf>
    <xf numFmtId="0" fontId="3" fillId="2" borderId="0" xfId="4" applyFont="1" applyFill="1" applyBorder="1" applyAlignment="1" applyProtection="1">
      <alignment vertical="center"/>
    </xf>
    <xf numFmtId="0" fontId="3" fillId="2" borderId="0" xfId="4" applyFont="1" applyFill="1" applyBorder="1" applyAlignment="1" applyProtection="1">
      <alignment wrapText="1"/>
    </xf>
    <xf numFmtId="0" fontId="3" fillId="0" borderId="0" xfId="4" applyFont="1" applyBorder="1" applyAlignment="1" applyProtection="1"/>
    <xf numFmtId="0" fontId="3" fillId="0" borderId="0" xfId="4" applyFont="1" applyAlignment="1" applyProtection="1"/>
    <xf numFmtId="0" fontId="19" fillId="9" borderId="1" xfId="0" applyFont="1" applyFill="1" applyBorder="1" applyAlignment="1">
      <alignment horizontal="center" vertical="center"/>
    </xf>
    <xf numFmtId="0" fontId="19" fillId="9" borderId="2" xfId="0" applyFont="1" applyFill="1" applyBorder="1" applyAlignment="1">
      <alignment horizontal="center" vertical="center"/>
    </xf>
    <xf numFmtId="0" fontId="19" fillId="10" borderId="1" xfId="0" applyFont="1" applyFill="1" applyBorder="1" applyAlignment="1">
      <alignment horizontal="center"/>
    </xf>
    <xf numFmtId="0" fontId="19" fillId="10" borderId="2" xfId="0" applyFont="1" applyFill="1" applyBorder="1" applyAlignment="1">
      <alignment horizontal="center"/>
    </xf>
    <xf numFmtId="0" fontId="19" fillId="9" borderId="1" xfId="0" applyFont="1" applyFill="1" applyBorder="1" applyAlignment="1">
      <alignment horizontal="center" vertical="center"/>
    </xf>
    <xf numFmtId="0" fontId="19" fillId="9" borderId="2" xfId="0" applyFont="1" applyFill="1" applyBorder="1" applyAlignment="1">
      <alignment horizontal="center" vertical="center"/>
    </xf>
    <xf numFmtId="0" fontId="26" fillId="2" borderId="0" xfId="0" applyFont="1" applyFill="1"/>
    <xf numFmtId="0" fontId="26" fillId="0" borderId="0" xfId="0" applyFont="1" applyFill="1" applyBorder="1" applyAlignment="1">
      <alignment horizontal="left" vertical="top" indent="1"/>
    </xf>
    <xf numFmtId="0" fontId="26" fillId="0" borderId="0" xfId="0" applyFont="1" applyFill="1" applyBorder="1" applyAlignment="1">
      <alignment horizontal="left" indent="1"/>
    </xf>
    <xf numFmtId="170" fontId="26" fillId="0" borderId="0" xfId="0" applyNumberFormat="1" applyFont="1" applyFill="1" applyBorder="1"/>
    <xf numFmtId="0" fontId="55" fillId="0" borderId="0" xfId="4" applyFont="1" applyAlignment="1" applyProtection="1"/>
    <xf numFmtId="0" fontId="17" fillId="9" borderId="3" xfId="6" applyFont="1" applyFill="1" applyBorder="1" applyAlignment="1">
      <alignment horizontal="center" vertical="top"/>
    </xf>
    <xf numFmtId="0" fontId="2" fillId="9" borderId="1" xfId="0" applyFont="1" applyFill="1" applyBorder="1" applyAlignment="1">
      <alignment horizontal="center" vertical="center"/>
    </xf>
    <xf numFmtId="0" fontId="2" fillId="9" borderId="0" xfId="0" applyFont="1" applyFill="1" applyBorder="1" applyAlignment="1">
      <alignment horizontal="center" vertical="center"/>
    </xf>
    <xf numFmtId="0" fontId="2" fillId="9" borderId="2" xfId="0" applyFont="1" applyFill="1" applyBorder="1" applyAlignment="1">
      <alignment horizontal="center" vertical="center"/>
    </xf>
    <xf numFmtId="0" fontId="2" fillId="9" borderId="1" xfId="0" applyFont="1" applyFill="1" applyBorder="1" applyAlignment="1">
      <alignment horizontal="centerContinuous"/>
    </xf>
    <xf numFmtId="0" fontId="2" fillId="9" borderId="1" xfId="0" applyFont="1" applyFill="1" applyBorder="1" applyAlignment="1">
      <alignment horizontal="right" vertical="center"/>
    </xf>
    <xf numFmtId="0" fontId="2" fillId="9" borderId="2" xfId="0" applyFont="1" applyFill="1" applyBorder="1" applyAlignment="1">
      <alignment horizontal="right" vertical="center"/>
    </xf>
    <xf numFmtId="0" fontId="2" fillId="10" borderId="1" xfId="0" applyFont="1" applyFill="1" applyBorder="1" applyAlignment="1">
      <alignment horizontal="centerContinuous"/>
    </xf>
    <xf numFmtId="0" fontId="2" fillId="10" borderId="1" xfId="0" applyFont="1" applyFill="1" applyBorder="1" applyAlignment="1">
      <alignment horizontal="right" vertical="center"/>
    </xf>
    <xf numFmtId="0" fontId="2" fillId="10" borderId="2" xfId="0" applyFont="1" applyFill="1" applyBorder="1" applyAlignment="1">
      <alignment horizontal="right" vertical="center"/>
    </xf>
    <xf numFmtId="0" fontId="0" fillId="9" borderId="1" xfId="0" applyFont="1" applyFill="1" applyBorder="1" applyAlignment="1">
      <alignment horizontal="centerContinuous"/>
    </xf>
    <xf numFmtId="0" fontId="2" fillId="9" borderId="1" xfId="0" applyFont="1" applyFill="1" applyBorder="1" applyAlignment="1"/>
    <xf numFmtId="0" fontId="0" fillId="9" borderId="1" xfId="0" applyFont="1" applyFill="1" applyBorder="1" applyAlignment="1"/>
    <xf numFmtId="0" fontId="2" fillId="10" borderId="1" xfId="0" applyFont="1" applyFill="1" applyBorder="1" applyAlignment="1">
      <alignment horizontal="center"/>
    </xf>
    <xf numFmtId="0" fontId="2" fillId="9" borderId="1" xfId="0" applyFont="1" applyFill="1" applyBorder="1" applyAlignment="1">
      <alignment horizontal="center"/>
    </xf>
    <xf numFmtId="0" fontId="0" fillId="9" borderId="1" xfId="0" applyFont="1" applyFill="1" applyBorder="1" applyAlignment="1">
      <alignment horizontal="center"/>
    </xf>
    <xf numFmtId="0" fontId="2" fillId="10" borderId="1" xfId="0" applyFont="1" applyFill="1" applyBorder="1" applyAlignment="1">
      <alignment horizontal="center" vertical="center"/>
    </xf>
    <xf numFmtId="0" fontId="2" fillId="10" borderId="2" xfId="0" applyFont="1" applyFill="1" applyBorder="1" applyAlignment="1">
      <alignment horizontal="center" vertical="center"/>
    </xf>
    <xf numFmtId="0" fontId="2" fillId="9" borderId="3" xfId="0" applyFont="1" applyFill="1" applyBorder="1" applyAlignment="1">
      <alignment horizontal="center" vertical="center"/>
    </xf>
    <xf numFmtId="0" fontId="0" fillId="0" borderId="3" xfId="0" applyBorder="1" applyAlignment="1">
      <alignment horizontal="center" vertical="center"/>
    </xf>
    <xf numFmtId="0" fontId="2" fillId="10" borderId="3" xfId="0" applyFont="1" applyFill="1" applyBorder="1" applyAlignment="1">
      <alignment horizontal="center" vertical="center"/>
    </xf>
    <xf numFmtId="0" fontId="2" fillId="10" borderId="3" xfId="0" applyFont="1" applyFill="1" applyBorder="1" applyAlignment="1">
      <alignment horizontal="center"/>
    </xf>
    <xf numFmtId="0" fontId="0" fillId="0" borderId="3" xfId="0" applyBorder="1" applyAlignment="1">
      <alignment horizontal="center"/>
    </xf>
    <xf numFmtId="0" fontId="2" fillId="9" borderId="3" xfId="0" applyFont="1" applyFill="1" applyBorder="1" applyAlignment="1">
      <alignment horizontal="center"/>
    </xf>
    <xf numFmtId="0" fontId="0" fillId="0" borderId="3" xfId="0" applyBorder="1" applyAlignment="1"/>
    <xf numFmtId="0" fontId="2" fillId="9" borderId="3" xfId="0" applyFont="1" applyFill="1" applyBorder="1" applyAlignment="1">
      <alignment horizontal="right"/>
    </xf>
    <xf numFmtId="0" fontId="2" fillId="9" borderId="1" xfId="0" applyFont="1" applyFill="1" applyBorder="1" applyAlignment="1">
      <alignment horizontal="center" vertical="center" wrapText="1"/>
    </xf>
    <xf numFmtId="0" fontId="2" fillId="9" borderId="2" xfId="0" applyFont="1" applyFill="1" applyBorder="1" applyAlignment="1">
      <alignment horizontal="center" vertical="center" wrapText="1"/>
    </xf>
    <xf numFmtId="0" fontId="2" fillId="9" borderId="3" xfId="0" applyFont="1" applyFill="1" applyBorder="1" applyAlignment="1">
      <alignment horizontal="right"/>
    </xf>
    <xf numFmtId="0" fontId="2" fillId="9" borderId="3" xfId="0" applyFont="1" applyFill="1" applyBorder="1" applyAlignment="1">
      <alignment horizontal="center"/>
    </xf>
    <xf numFmtId="0" fontId="2" fillId="10" borderId="3" xfId="0" applyFont="1" applyFill="1" applyBorder="1" applyAlignment="1">
      <alignment horizontal="right"/>
    </xf>
    <xf numFmtId="0" fontId="2" fillId="10" borderId="3" xfId="0" applyFont="1" applyFill="1" applyBorder="1" applyAlignment="1">
      <alignment horizontal="center"/>
    </xf>
    <xf numFmtId="0" fontId="58" fillId="0" borderId="0" xfId="0" applyFont="1" applyFill="1" applyBorder="1" applyAlignment="1"/>
    <xf numFmtId="0" fontId="58" fillId="0" borderId="0" xfId="0" applyFont="1" applyFill="1" applyBorder="1" applyAlignment="1">
      <alignment wrapText="1"/>
    </xf>
    <xf numFmtId="170" fontId="58" fillId="0" borderId="0" xfId="3" applyNumberFormat="1" applyFont="1" applyFill="1" applyBorder="1"/>
    <xf numFmtId="164" fontId="58" fillId="2" borderId="0" xfId="3" applyNumberFormat="1" applyFont="1" applyFill="1" applyBorder="1"/>
    <xf numFmtId="0" fontId="58" fillId="2" borderId="0" xfId="0" applyFont="1" applyFill="1"/>
    <xf numFmtId="170" fontId="58" fillId="0" borderId="0" xfId="0" applyNumberFormat="1" applyFont="1" applyFill="1" applyBorder="1"/>
    <xf numFmtId="0" fontId="59" fillId="2" borderId="0" xfId="0" applyFont="1" applyFill="1"/>
    <xf numFmtId="0" fontId="58" fillId="2" borderId="0" xfId="0" applyFont="1" applyFill="1" applyBorder="1"/>
    <xf numFmtId="0" fontId="58" fillId="0" borderId="0" xfId="0" applyFont="1" applyFill="1" applyBorder="1" applyAlignment="1">
      <alignment horizontal="left" indent="1"/>
    </xf>
    <xf numFmtId="170" fontId="58" fillId="0" borderId="0" xfId="0" applyNumberFormat="1" applyFont="1" applyFill="1" applyBorder="1" applyAlignment="1"/>
    <xf numFmtId="170" fontId="58" fillId="2" borderId="0" xfId="0" applyNumberFormat="1" applyFont="1" applyFill="1"/>
    <xf numFmtId="0" fontId="19" fillId="10" borderId="3" xfId="0" applyFont="1" applyFill="1" applyBorder="1" applyAlignment="1">
      <alignment horizontal="center" wrapText="1"/>
    </xf>
    <xf numFmtId="0" fontId="19" fillId="10" borderId="3" xfId="0" applyFont="1" applyFill="1" applyBorder="1" applyAlignment="1">
      <alignment vertical="center"/>
    </xf>
    <xf numFmtId="0" fontId="19" fillId="10" borderId="3" xfId="0" applyFont="1" applyFill="1" applyBorder="1" applyAlignment="1">
      <alignment horizontal="center" vertical="center"/>
    </xf>
    <xf numFmtId="0" fontId="19" fillId="10" borderId="3" xfId="0" applyFont="1" applyFill="1" applyBorder="1" applyAlignment="1">
      <alignment horizontal="left" vertical="center"/>
    </xf>
    <xf numFmtId="0" fontId="0" fillId="0" borderId="2" xfId="0" applyBorder="1" applyAlignment="1">
      <alignment vertical="center"/>
    </xf>
    <xf numFmtId="0" fontId="0" fillId="0" borderId="2" xfId="0" applyBorder="1" applyAlignment="1">
      <alignment horizontal="center" vertical="center"/>
    </xf>
    <xf numFmtId="0" fontId="0" fillId="0" borderId="1" xfId="0" applyBorder="1" applyAlignment="1">
      <alignment horizontal="center" vertical="center"/>
    </xf>
    <xf numFmtId="0" fontId="0" fillId="9" borderId="1" xfId="0" applyFill="1" applyBorder="1" applyAlignment="1">
      <alignment horizontal="center" vertical="center"/>
    </xf>
    <xf numFmtId="0" fontId="0" fillId="9" borderId="2" xfId="0" applyFill="1" applyBorder="1" applyAlignment="1">
      <alignment horizontal="center" vertical="center"/>
    </xf>
    <xf numFmtId="0" fontId="0" fillId="10" borderId="2" xfId="0" applyFill="1" applyBorder="1" applyAlignment="1">
      <alignment horizontal="center" vertical="center"/>
    </xf>
    <xf numFmtId="0" fontId="4" fillId="9" borderId="1" xfId="0" applyFont="1" applyFill="1" applyBorder="1" applyAlignment="1">
      <alignment horizontal="center" vertical="center" wrapText="1"/>
    </xf>
    <xf numFmtId="0" fontId="0" fillId="9" borderId="1" xfId="0" applyFill="1" applyBorder="1" applyAlignment="1">
      <alignment horizontal="center" vertical="center" wrapText="1"/>
    </xf>
    <xf numFmtId="0" fontId="0" fillId="9" borderId="2" xfId="0" applyFill="1" applyBorder="1" applyAlignment="1">
      <alignment horizontal="center" vertical="center" wrapText="1"/>
    </xf>
    <xf numFmtId="0" fontId="4" fillId="10" borderId="3" xfId="0" applyFont="1" applyFill="1" applyBorder="1" applyAlignment="1">
      <alignment horizontal="center"/>
    </xf>
    <xf numFmtId="0" fontId="4" fillId="10" borderId="3" xfId="0" applyFont="1" applyFill="1" applyBorder="1" applyAlignment="1">
      <alignment horizontal="center" wrapText="1"/>
    </xf>
    <xf numFmtId="0" fontId="2" fillId="9" borderId="3" xfId="0" applyFont="1" applyFill="1" applyBorder="1" applyAlignment="1">
      <alignment vertical="center"/>
    </xf>
    <xf numFmtId="0" fontId="0" fillId="0" borderId="0" xfId="0" applyBorder="1" applyAlignment="1">
      <alignment horizontal="center"/>
    </xf>
    <xf numFmtId="0" fontId="2" fillId="9" borderId="2" xfId="0" applyFont="1" applyFill="1" applyBorder="1" applyAlignment="1">
      <alignment horizontal="center"/>
    </xf>
    <xf numFmtId="0" fontId="2" fillId="9" borderId="1" xfId="0" applyFont="1" applyFill="1" applyBorder="1"/>
    <xf numFmtId="0" fontId="0" fillId="10" borderId="1" xfId="0" applyFont="1" applyFill="1" applyBorder="1"/>
    <xf numFmtId="0" fontId="2" fillId="10" borderId="2" xfId="0" applyFont="1" applyFill="1" applyBorder="1" applyAlignment="1">
      <alignment horizontal="center"/>
    </xf>
    <xf numFmtId="0" fontId="0" fillId="10" borderId="1" xfId="0" applyFont="1" applyFill="1" applyBorder="1" applyAlignment="1">
      <alignment horizontal="center"/>
    </xf>
    <xf numFmtId="0" fontId="19" fillId="10" borderId="3" xfId="0" applyFont="1" applyFill="1" applyBorder="1" applyAlignment="1">
      <alignment horizontal="centerContinuous"/>
    </xf>
    <xf numFmtId="0" fontId="0" fillId="9" borderId="1" xfId="0" applyFont="1" applyFill="1" applyBorder="1" applyAlignment="1">
      <alignment horizontal="center" vertical="center" wrapText="1"/>
    </xf>
    <xf numFmtId="0" fontId="0" fillId="9" borderId="2" xfId="0" applyFont="1" applyFill="1" applyBorder="1" applyAlignment="1">
      <alignment horizontal="center" vertical="center" wrapText="1"/>
    </xf>
    <xf numFmtId="0" fontId="0" fillId="9" borderId="1" xfId="0" applyFill="1" applyBorder="1" applyAlignment="1">
      <alignment horizontal="center" wrapText="1"/>
    </xf>
    <xf numFmtId="0" fontId="0" fillId="9" borderId="2" xfId="0" applyFill="1" applyBorder="1" applyAlignment="1">
      <alignment horizontal="center" wrapText="1"/>
    </xf>
    <xf numFmtId="0" fontId="2" fillId="10" borderId="1" xfId="0" applyFont="1" applyFill="1" applyBorder="1"/>
    <xf numFmtId="0" fontId="2" fillId="9" borderId="0" xfId="0" applyFont="1" applyFill="1" applyAlignment="1">
      <alignment horizontal="center" vertical="center" wrapText="1"/>
    </xf>
    <xf numFmtId="0" fontId="2" fillId="9" borderId="3" xfId="0" applyFont="1" applyFill="1" applyBorder="1" applyAlignment="1">
      <alignment horizontal="center" vertical="center"/>
    </xf>
    <xf numFmtId="0" fontId="19" fillId="9" borderId="3" xfId="0" applyFont="1" applyFill="1" applyBorder="1" applyAlignment="1">
      <alignment horizontal="center"/>
    </xf>
    <xf numFmtId="0" fontId="2" fillId="10" borderId="3" xfId="0" applyFont="1" applyFill="1" applyBorder="1" applyAlignment="1">
      <alignment horizontal="center" vertical="center"/>
    </xf>
    <xf numFmtId="0" fontId="19" fillId="10" borderId="3" xfId="0" applyFont="1" applyFill="1" applyBorder="1" applyAlignment="1">
      <alignment horizontal="center"/>
    </xf>
    <xf numFmtId="0" fontId="21" fillId="2" borderId="0" xfId="1" applyFont="1" applyFill="1" applyBorder="1" applyAlignment="1">
      <alignment horizontal="center"/>
    </xf>
    <xf numFmtId="0" fontId="0" fillId="9" borderId="2" xfId="0" applyFill="1" applyBorder="1" applyAlignment="1">
      <alignment vertical="center"/>
    </xf>
    <xf numFmtId="0" fontId="2" fillId="10" borderId="1" xfId="0" applyFont="1" applyFill="1" applyBorder="1" applyAlignment="1">
      <alignment horizontal="left" vertical="center"/>
    </xf>
    <xf numFmtId="0" fontId="0" fillId="10" borderId="1" xfId="0" applyFill="1" applyBorder="1" applyAlignment="1">
      <alignment horizontal="left" vertical="center"/>
    </xf>
    <xf numFmtId="0" fontId="0" fillId="10" borderId="2" xfId="0" applyFill="1" applyBorder="1" applyAlignment="1">
      <alignment horizontal="left" vertical="center"/>
    </xf>
    <xf numFmtId="0" fontId="58" fillId="0" borderId="0" xfId="0" applyFont="1" applyFill="1" applyBorder="1" applyAlignment="1">
      <alignment horizontal="left" indent="2"/>
    </xf>
    <xf numFmtId="43" fontId="58" fillId="0" borderId="0" xfId="0" applyNumberFormat="1" applyFont="1" applyFill="1" applyBorder="1"/>
    <xf numFmtId="43" fontId="58" fillId="2" borderId="0" xfId="0" applyNumberFormat="1" applyFont="1" applyFill="1"/>
    <xf numFmtId="0" fontId="58" fillId="0" borderId="0" xfId="0" applyFont="1" applyFill="1" applyBorder="1" applyAlignment="1">
      <alignment horizontal="left"/>
    </xf>
    <xf numFmtId="0" fontId="0" fillId="10" borderId="3" xfId="0" applyFont="1" applyFill="1" applyBorder="1" applyAlignment="1">
      <alignment horizontal="center"/>
    </xf>
    <xf numFmtId="0" fontId="2" fillId="11" borderId="3" xfId="0" applyFont="1" applyFill="1" applyBorder="1" applyAlignment="1">
      <alignment horizontal="center"/>
    </xf>
    <xf numFmtId="0" fontId="2" fillId="11" borderId="2" xfId="0" applyFont="1" applyFill="1" applyBorder="1" applyAlignment="1">
      <alignment horizontal="center"/>
    </xf>
    <xf numFmtId="0" fontId="2" fillId="11" borderId="0" xfId="0" applyFont="1" applyFill="1" applyBorder="1" applyAlignment="1">
      <alignment horizontal="center"/>
    </xf>
    <xf numFmtId="0" fontId="19" fillId="11" borderId="2" xfId="0" applyFont="1" applyFill="1" applyBorder="1" applyAlignment="1">
      <alignment horizontal="center" wrapText="1"/>
    </xf>
    <xf numFmtId="0" fontId="2" fillId="12" borderId="3" xfId="0" applyFont="1" applyFill="1" applyBorder="1" applyAlignment="1">
      <alignment horizontal="center"/>
    </xf>
    <xf numFmtId="0" fontId="2" fillId="12" borderId="2" xfId="0" applyFont="1" applyFill="1" applyBorder="1" applyAlignment="1">
      <alignment horizontal="center"/>
    </xf>
    <xf numFmtId="0" fontId="2" fillId="13" borderId="3" xfId="0" applyFont="1" applyFill="1" applyBorder="1" applyAlignment="1">
      <alignment horizontal="center"/>
    </xf>
    <xf numFmtId="0" fontId="2" fillId="13" borderId="0" xfId="0" applyFont="1" applyFill="1" applyBorder="1" applyAlignment="1">
      <alignment horizontal="center"/>
    </xf>
    <xf numFmtId="0" fontId="19" fillId="13" borderId="2" xfId="0" applyFont="1" applyFill="1" applyBorder="1" applyAlignment="1">
      <alignment horizontal="center" wrapText="1"/>
    </xf>
    <xf numFmtId="0" fontId="58" fillId="2" borderId="0" xfId="0" applyFont="1" applyFill="1" applyBorder="1" applyAlignment="1">
      <alignment horizontal="left"/>
    </xf>
    <xf numFmtId="164" fontId="58" fillId="2" borderId="0" xfId="3" applyNumberFormat="1" applyFont="1" applyFill="1" applyBorder="1" applyAlignment="1">
      <alignment horizontal="right"/>
    </xf>
    <xf numFmtId="164" fontId="58" fillId="4" borderId="0" xfId="3" applyNumberFormat="1" applyFont="1" applyFill="1" applyBorder="1" applyAlignment="1">
      <alignment horizontal="right"/>
    </xf>
    <xf numFmtId="0" fontId="0" fillId="0" borderId="1" xfId="0" applyBorder="1" applyAlignment="1">
      <alignment vertical="center"/>
    </xf>
    <xf numFmtId="0" fontId="2" fillId="11" borderId="3" xfId="0" applyFont="1" applyFill="1" applyBorder="1"/>
    <xf numFmtId="0" fontId="2" fillId="9" borderId="3" xfId="0" applyFont="1" applyFill="1" applyBorder="1" applyAlignment="1"/>
    <xf numFmtId="0" fontId="2" fillId="10" borderId="3" xfId="0" applyFont="1" applyFill="1" applyBorder="1" applyAlignment="1"/>
    <xf numFmtId="0" fontId="0" fillId="9" borderId="3" xfId="0" applyFill="1" applyBorder="1" applyAlignment="1">
      <alignment horizontal="center"/>
    </xf>
    <xf numFmtId="2" fontId="58" fillId="2" borderId="0" xfId="0" applyNumberFormat="1" applyFont="1" applyFill="1" applyBorder="1"/>
    <xf numFmtId="0" fontId="58" fillId="0" borderId="0" xfId="0" applyFont="1"/>
    <xf numFmtId="0" fontId="0" fillId="2" borderId="0" xfId="0" applyFont="1" applyFill="1" applyBorder="1" applyAlignment="1">
      <alignment horizontal="center"/>
    </xf>
    <xf numFmtId="0" fontId="2" fillId="10" borderId="1" xfId="0" applyFont="1" applyFill="1" applyBorder="1" applyAlignment="1">
      <alignment horizontal="left"/>
    </xf>
    <xf numFmtId="2" fontId="58" fillId="0" borderId="0" xfId="252" applyNumberFormat="1" applyFont="1" applyFill="1" applyBorder="1" applyAlignment="1">
      <alignment horizontal="right"/>
    </xf>
    <xf numFmtId="0" fontId="58" fillId="0" borderId="0" xfId="0" applyFont="1" applyBorder="1"/>
    <xf numFmtId="10" fontId="58" fillId="2" borderId="0" xfId="0" applyNumberFormat="1" applyFont="1" applyFill="1" applyBorder="1"/>
    <xf numFmtId="0" fontId="0" fillId="9" borderId="2" xfId="0" applyFill="1" applyBorder="1" applyAlignment="1">
      <alignment wrapText="1"/>
    </xf>
    <xf numFmtId="0" fontId="2" fillId="13" borderId="3" xfId="0" applyFont="1" applyFill="1" applyBorder="1"/>
    <xf numFmtId="0" fontId="0" fillId="10" borderId="3" xfId="0" applyFill="1" applyBorder="1"/>
    <xf numFmtId="0" fontId="2" fillId="10" borderId="3" xfId="0" applyFont="1" applyFill="1" applyBorder="1"/>
    <xf numFmtId="0" fontId="58" fillId="2" borderId="0" xfId="0" applyFont="1" applyFill="1" applyBorder="1" applyAlignment="1"/>
    <xf numFmtId="43" fontId="58" fillId="4" borderId="0" xfId="3" applyFont="1" applyFill="1" applyBorder="1" applyAlignment="1">
      <alignment horizontal="center"/>
    </xf>
    <xf numFmtId="43" fontId="58" fillId="2" borderId="0" xfId="3" applyFont="1" applyFill="1" applyBorder="1" applyAlignment="1">
      <alignment horizontal="center"/>
    </xf>
    <xf numFmtId="43" fontId="58" fillId="3" borderId="0" xfId="3" applyFont="1" applyFill="1" applyBorder="1" applyAlignment="1">
      <alignment horizontal="center"/>
    </xf>
    <xf numFmtId="0" fontId="0" fillId="9" borderId="1" xfId="0" applyFill="1" applyBorder="1" applyAlignment="1">
      <alignment wrapText="1"/>
    </xf>
    <xf numFmtId="0" fontId="2" fillId="14" borderId="3" xfId="0" applyFont="1" applyFill="1" applyBorder="1"/>
    <xf numFmtId="0" fontId="2" fillId="14" borderId="3" xfId="0" applyFont="1" applyFill="1" applyBorder="1" applyAlignment="1">
      <alignment horizontal="center"/>
    </xf>
    <xf numFmtId="0" fontId="2" fillId="12" borderId="3" xfId="0" applyFont="1" applyFill="1" applyBorder="1"/>
    <xf numFmtId="43" fontId="58" fillId="2" borderId="0" xfId="3" applyFont="1" applyFill="1" applyBorder="1" applyAlignment="1">
      <alignment horizontal="right"/>
    </xf>
    <xf numFmtId="0" fontId="0" fillId="0" borderId="0" xfId="0" applyAlignment="1"/>
    <xf numFmtId="0" fontId="58" fillId="2" borderId="0" xfId="0" applyFont="1" applyFill="1" applyAlignment="1"/>
    <xf numFmtId="0" fontId="60" fillId="2" borderId="0" xfId="0" applyFont="1" applyFill="1"/>
    <xf numFmtId="0" fontId="0" fillId="9" borderId="0" xfId="0" applyFill="1" applyAlignment="1">
      <alignment vertical="center"/>
    </xf>
    <xf numFmtId="0" fontId="0" fillId="8" borderId="3" xfId="0" applyFill="1" applyBorder="1"/>
    <xf numFmtId="0" fontId="2" fillId="8" borderId="3" xfId="0" applyFont="1" applyFill="1" applyBorder="1" applyAlignment="1">
      <alignment horizontal="right"/>
    </xf>
    <xf numFmtId="0" fontId="0" fillId="8" borderId="3" xfId="0" applyFill="1" applyBorder="1" applyAlignment="1">
      <alignment horizontal="right"/>
    </xf>
    <xf numFmtId="0" fontId="21" fillId="7" borderId="0" xfId="163" applyFont="1" applyFill="1" applyBorder="1" applyAlignment="1">
      <alignment horizontal="center"/>
    </xf>
    <xf numFmtId="0" fontId="20" fillId="9" borderId="1" xfId="0" applyFont="1" applyFill="1" applyBorder="1" applyAlignment="1">
      <alignment horizontal="center" vertical="center"/>
    </xf>
    <xf numFmtId="0" fontId="20" fillId="9" borderId="2" xfId="0" applyFont="1" applyFill="1" applyBorder="1" applyAlignment="1">
      <alignment horizontal="center" vertical="center"/>
    </xf>
    <xf numFmtId="0" fontId="6" fillId="9" borderId="3" xfId="0" applyFont="1" applyFill="1" applyBorder="1" applyAlignment="1">
      <alignment horizontal="center"/>
    </xf>
    <xf numFmtId="0" fontId="20" fillId="9" borderId="3" xfId="0" applyFont="1" applyFill="1" applyBorder="1" applyAlignment="1">
      <alignment horizontal="center"/>
    </xf>
    <xf numFmtId="0" fontId="20" fillId="9" borderId="2" xfId="0" applyFont="1" applyFill="1" applyBorder="1" applyAlignment="1">
      <alignment horizontal="center"/>
    </xf>
    <xf numFmtId="0" fontId="20" fillId="9" borderId="3" xfId="0" applyFont="1" applyFill="1" applyBorder="1"/>
    <xf numFmtId="0" fontId="6" fillId="10" borderId="3" xfId="0" applyFont="1" applyFill="1" applyBorder="1"/>
    <xf numFmtId="0" fontId="20" fillId="10" borderId="3" xfId="0" applyFont="1" applyFill="1" applyBorder="1" applyAlignment="1">
      <alignment horizontal="center"/>
    </xf>
    <xf numFmtId="0" fontId="20" fillId="10" borderId="2" xfId="0" applyFont="1" applyFill="1" applyBorder="1" applyAlignment="1">
      <alignment horizontal="center"/>
    </xf>
    <xf numFmtId="0" fontId="6" fillId="10" borderId="3" xfId="0" applyFont="1" applyFill="1" applyBorder="1" applyAlignment="1">
      <alignment horizontal="center"/>
    </xf>
    <xf numFmtId="0" fontId="2" fillId="11" borderId="3" xfId="0" applyFont="1" applyFill="1" applyBorder="1" applyAlignment="1">
      <alignment horizontal="center" vertical="center"/>
    </xf>
    <xf numFmtId="2" fontId="58" fillId="2" borderId="0" xfId="0" applyNumberFormat="1" applyFont="1" applyFill="1"/>
    <xf numFmtId="2" fontId="60" fillId="2" borderId="0" xfId="0" applyNumberFormat="1" applyFont="1" applyFill="1"/>
    <xf numFmtId="0" fontId="61" fillId="0" borderId="0" xfId="0" applyFont="1" applyFill="1" applyBorder="1" applyAlignment="1"/>
    <xf numFmtId="0" fontId="62" fillId="0" borderId="0" xfId="0" applyFont="1"/>
    <xf numFmtId="43" fontId="62" fillId="0" borderId="0" xfId="0" applyNumberFormat="1" applyFont="1"/>
    <xf numFmtId="43" fontId="58" fillId="0" borderId="0" xfId="0" applyNumberFormat="1" applyFont="1"/>
    <xf numFmtId="172" fontId="58" fillId="0" borderId="0" xfId="0" applyNumberFormat="1" applyFont="1"/>
    <xf numFmtId="171" fontId="58" fillId="0" borderId="0" xfId="0" applyNumberFormat="1" applyFont="1"/>
    <xf numFmtId="0" fontId="61" fillId="0" borderId="0" xfId="0" applyFont="1" applyFill="1" applyBorder="1" applyAlignment="1">
      <alignment wrapText="1"/>
    </xf>
    <xf numFmtId="0" fontId="63" fillId="2" borderId="0" xfId="0" applyFont="1" applyFill="1" applyBorder="1"/>
    <xf numFmtId="0" fontId="63" fillId="2" borderId="0" xfId="0" applyFont="1" applyFill="1" applyBorder="1" applyAlignment="1"/>
    <xf numFmtId="2" fontId="58" fillId="2" borderId="0" xfId="0" applyNumberFormat="1" applyFont="1" applyFill="1" applyBorder="1" applyAlignment="1">
      <alignment horizontal="center"/>
    </xf>
    <xf numFmtId="0" fontId="64" fillId="2" borderId="0" xfId="0" applyFont="1" applyFill="1" applyBorder="1"/>
    <xf numFmtId="0" fontId="59" fillId="2" borderId="0" xfId="0" applyFont="1" applyFill="1" applyBorder="1" applyAlignment="1"/>
    <xf numFmtId="0" fontId="64" fillId="2" borderId="0" xfId="0" applyFont="1" applyFill="1" applyBorder="1" applyAlignment="1"/>
    <xf numFmtId="2" fontId="59" fillId="2" borderId="0" xfId="0" applyNumberFormat="1" applyFont="1" applyFill="1" applyBorder="1" applyAlignment="1">
      <alignment horizontal="center"/>
    </xf>
    <xf numFmtId="0" fontId="59" fillId="0" borderId="0" xfId="0" applyFont="1"/>
    <xf numFmtId="10" fontId="58" fillId="2" borderId="0" xfId="0" applyNumberFormat="1" applyFont="1" applyFill="1" applyBorder="1" applyAlignment="1">
      <alignment horizontal="right"/>
    </xf>
    <xf numFmtId="41" fontId="26" fillId="2" borderId="0" xfId="1" applyNumberFormat="1" applyFont="1" applyFill="1" applyBorder="1" applyAlignment="1">
      <alignment horizontal="left" vertical="center"/>
    </xf>
    <xf numFmtId="41" fontId="26" fillId="2" borderId="0" xfId="1" applyNumberFormat="1" applyFont="1" applyFill="1" applyBorder="1" applyAlignment="1">
      <alignment horizontal="left" vertical="center" wrapText="1"/>
    </xf>
    <xf numFmtId="165" fontId="58" fillId="2" borderId="0" xfId="0" applyNumberFormat="1" applyFont="1" applyFill="1" applyAlignment="1"/>
    <xf numFmtId="165" fontId="58" fillId="2" borderId="0" xfId="0" applyNumberFormat="1" applyFont="1" applyFill="1" applyAlignment="1">
      <alignment horizontal="right"/>
    </xf>
    <xf numFmtId="165" fontId="26" fillId="2" borderId="0" xfId="2" applyNumberFormat="1" applyFont="1" applyFill="1" applyBorder="1" applyAlignment="1"/>
    <xf numFmtId="165" fontId="26" fillId="2" borderId="0" xfId="2" applyNumberFormat="1" applyFont="1" applyFill="1" applyBorder="1" applyAlignment="1">
      <alignment horizontal="right"/>
    </xf>
    <xf numFmtId="0" fontId="58" fillId="2" borderId="1" xfId="0" applyFont="1" applyFill="1" applyBorder="1"/>
    <xf numFmtId="41" fontId="26" fillId="2" borderId="1" xfId="1" applyNumberFormat="1" applyFont="1" applyFill="1" applyBorder="1" applyAlignment="1">
      <alignment horizontal="left" vertical="center"/>
    </xf>
    <xf numFmtId="41" fontId="26" fillId="2" borderId="1" xfId="1" applyNumberFormat="1" applyFont="1" applyFill="1" applyBorder="1" applyAlignment="1">
      <alignment horizontal="left" vertical="center" wrapText="1"/>
    </xf>
    <xf numFmtId="167" fontId="26" fillId="2" borderId="1" xfId="1" applyNumberFormat="1" applyFont="1" applyFill="1" applyBorder="1" applyAlignment="1">
      <alignment horizontal="center"/>
    </xf>
    <xf numFmtId="167" fontId="58" fillId="2" borderId="1" xfId="0" applyNumberFormat="1" applyFont="1" applyFill="1" applyBorder="1" applyAlignment="1">
      <alignment horizontal="center"/>
    </xf>
    <xf numFmtId="167" fontId="58" fillId="2" borderId="0" xfId="0" applyNumberFormat="1" applyFont="1" applyFill="1" applyBorder="1" applyAlignment="1">
      <alignment horizontal="center"/>
    </xf>
    <xf numFmtId="167" fontId="58" fillId="2" borderId="0" xfId="0" applyNumberFormat="1" applyFont="1" applyFill="1" applyAlignment="1">
      <alignment horizontal="center"/>
    </xf>
    <xf numFmtId="167" fontId="26" fillId="2" borderId="2" xfId="2" applyNumberFormat="1" applyFont="1" applyFill="1" applyBorder="1" applyAlignment="1">
      <alignment horizontal="center"/>
    </xf>
    <xf numFmtId="0" fontId="0" fillId="2" borderId="0" xfId="0" applyFont="1" applyFill="1" applyBorder="1" applyAlignment="1">
      <alignment horizontal="center" wrapText="1"/>
    </xf>
    <xf numFmtId="0" fontId="2" fillId="13" borderId="1" xfId="0" applyFont="1" applyFill="1" applyBorder="1" applyAlignment="1">
      <alignment horizontal="center" vertical="center" wrapText="1"/>
    </xf>
    <xf numFmtId="0" fontId="5" fillId="5" borderId="0" xfId="13" applyFont="1" applyFill="1" applyBorder="1" applyAlignment="1">
      <alignment horizontal="center"/>
    </xf>
    <xf numFmtId="0" fontId="32" fillId="5" borderId="0" xfId="13" applyFont="1" applyFill="1" applyBorder="1" applyAlignment="1">
      <alignment horizontal="center" wrapText="1"/>
    </xf>
    <xf numFmtId="0" fontId="45" fillId="13" borderId="3" xfId="0" applyFont="1" applyFill="1" applyBorder="1" applyAlignment="1">
      <alignment horizontal="center" wrapText="1"/>
    </xf>
    <xf numFmtId="0" fontId="45" fillId="11" borderId="3" xfId="0" applyFont="1" applyFill="1" applyBorder="1" applyAlignment="1">
      <alignment horizontal="center"/>
    </xf>
    <xf numFmtId="0" fontId="45" fillId="13" borderId="3" xfId="0" applyFont="1" applyFill="1" applyBorder="1" applyAlignment="1"/>
    <xf numFmtId="0" fontId="0" fillId="0" borderId="0" xfId="0" applyFont="1" applyBorder="1" applyAlignment="1">
      <alignment horizontal="center"/>
    </xf>
    <xf numFmtId="0" fontId="2" fillId="11" borderId="1" xfId="0" applyFont="1" applyFill="1" applyBorder="1"/>
    <xf numFmtId="0" fontId="2" fillId="11" borderId="1" xfId="0" applyFont="1" applyFill="1" applyBorder="1" applyAlignment="1">
      <alignment horizontal="left"/>
    </xf>
    <xf numFmtId="0" fontId="2" fillId="13" borderId="1" xfId="0" applyFont="1" applyFill="1" applyBorder="1" applyAlignment="1">
      <alignment horizontal="center" vertical="center"/>
    </xf>
    <xf numFmtId="0" fontId="2" fillId="9" borderId="3" xfId="0" applyFont="1" applyFill="1" applyBorder="1" applyAlignment="1">
      <alignment horizontal="center" wrapText="1"/>
    </xf>
    <xf numFmtId="0" fontId="2" fillId="10" borderId="3" xfId="0" applyFont="1" applyFill="1" applyBorder="1" applyAlignment="1">
      <alignment horizontal="center" wrapText="1"/>
    </xf>
    <xf numFmtId="0" fontId="19" fillId="10" borderId="3" xfId="1" applyFont="1" applyFill="1" applyBorder="1" applyAlignment="1">
      <alignment horizontal="center"/>
    </xf>
    <xf numFmtId="0" fontId="19" fillId="9" borderId="3" xfId="1" applyFont="1" applyFill="1" applyBorder="1" applyAlignment="1">
      <alignment horizontal="centerContinuous"/>
    </xf>
    <xf numFmtId="0" fontId="0" fillId="9" borderId="3" xfId="0" applyFont="1" applyFill="1" applyBorder="1" applyAlignment="1">
      <alignment horizontal="centerContinuous"/>
    </xf>
    <xf numFmtId="0" fontId="21" fillId="2" borderId="0" xfId="1" applyNumberFormat="1" applyFont="1" applyFill="1" applyBorder="1" applyAlignment="1">
      <alignment horizontal="center"/>
    </xf>
    <xf numFmtId="0" fontId="19" fillId="9" borderId="1" xfId="1" applyFont="1" applyFill="1" applyBorder="1" applyAlignment="1">
      <alignment horizontal="centerContinuous" vertical="center"/>
    </xf>
    <xf numFmtId="0" fontId="19" fillId="10" borderId="1" xfId="1" applyFont="1" applyFill="1" applyBorder="1" applyAlignment="1">
      <alignment horizontal="center" vertical="center"/>
    </xf>
    <xf numFmtId="0" fontId="2" fillId="13" borderId="2" xfId="0" applyFont="1" applyFill="1" applyBorder="1" applyAlignment="1">
      <alignment horizontal="center" vertical="center"/>
    </xf>
    <xf numFmtId="0" fontId="2" fillId="11" borderId="3" xfId="0" applyFont="1" applyFill="1" applyBorder="1" applyAlignment="1">
      <alignment horizontal="center"/>
    </xf>
    <xf numFmtId="0" fontId="0" fillId="3" borderId="0" xfId="0" applyFont="1" applyFill="1" applyBorder="1" applyAlignment="1">
      <alignment horizontal="center"/>
    </xf>
    <xf numFmtId="0" fontId="19" fillId="9" borderId="1" xfId="1" applyFont="1" applyFill="1" applyBorder="1" applyAlignment="1">
      <alignment horizontal="center" vertical="center"/>
    </xf>
    <xf numFmtId="0" fontId="19" fillId="9" borderId="2" xfId="1" applyFont="1" applyFill="1" applyBorder="1" applyAlignment="1">
      <alignment horizontal="center" vertical="center"/>
    </xf>
    <xf numFmtId="0" fontId="19" fillId="9" borderId="3" xfId="1" applyFont="1" applyFill="1" applyBorder="1" applyAlignment="1">
      <alignment horizontal="center"/>
    </xf>
    <xf numFmtId="0" fontId="19" fillId="9" borderId="2" xfId="1" applyFont="1" applyFill="1" applyBorder="1" applyAlignment="1">
      <alignment horizontal="center"/>
    </xf>
    <xf numFmtId="0" fontId="19" fillId="10" borderId="3" xfId="1" applyFont="1" applyFill="1" applyBorder="1" applyAlignment="1">
      <alignment horizontal="center"/>
    </xf>
    <xf numFmtId="0" fontId="19" fillId="10" borderId="2" xfId="1" applyFont="1" applyFill="1" applyBorder="1" applyAlignment="1">
      <alignment horizontal="center"/>
    </xf>
    <xf numFmtId="0" fontId="19" fillId="5" borderId="0" xfId="1" applyFont="1" applyFill="1" applyBorder="1" applyAlignment="1">
      <alignment horizontal="left" wrapText="1"/>
    </xf>
    <xf numFmtId="41" fontId="19" fillId="10" borderId="3" xfId="1" applyNumberFormat="1" applyFont="1" applyFill="1" applyBorder="1" applyAlignment="1">
      <alignment horizontal="center" wrapText="1"/>
    </xf>
    <xf numFmtId="41" fontId="19" fillId="9" borderId="3" xfId="1" applyNumberFormat="1" applyFont="1" applyFill="1" applyBorder="1" applyAlignment="1">
      <alignment horizontal="center" wrapText="1"/>
    </xf>
    <xf numFmtId="0" fontId="0" fillId="10" borderId="3" xfId="0" applyFont="1" applyFill="1" applyBorder="1" applyAlignment="1">
      <alignment horizontal="center"/>
    </xf>
    <xf numFmtId="0" fontId="2" fillId="11" borderId="1" xfId="0" applyFont="1" applyFill="1" applyBorder="1" applyAlignment="1">
      <alignment horizontal="right"/>
    </xf>
    <xf numFmtId="0" fontId="19" fillId="10" borderId="3" xfId="0" applyFont="1" applyFill="1" applyBorder="1" applyAlignment="1">
      <alignment horizontal="center"/>
    </xf>
    <xf numFmtId="0" fontId="19" fillId="10" borderId="3" xfId="0" applyFont="1" applyFill="1" applyBorder="1" applyAlignment="1">
      <alignment horizontal="right" wrapText="1"/>
    </xf>
    <xf numFmtId="0" fontId="0" fillId="9" borderId="1" xfId="0" applyFont="1" applyFill="1" applyBorder="1" applyAlignment="1">
      <alignment horizontal="center" vertical="center"/>
    </xf>
    <xf numFmtId="0" fontId="0" fillId="9" borderId="2" xfId="0" applyFont="1" applyFill="1" applyBorder="1" applyAlignment="1">
      <alignment horizontal="center" vertical="center"/>
    </xf>
    <xf numFmtId="0" fontId="2" fillId="11" borderId="1" xfId="0" applyFont="1" applyFill="1" applyBorder="1" applyAlignment="1">
      <alignment horizontal="center"/>
    </xf>
    <xf numFmtId="2" fontId="2" fillId="0" borderId="0" xfId="0" applyNumberFormat="1" applyFont="1" applyAlignment="1">
      <alignment horizontal="center"/>
    </xf>
    <xf numFmtId="0" fontId="0" fillId="0" borderId="0" xfId="0" applyFill="1" applyBorder="1" applyAlignment="1">
      <alignment horizontal="left" indent="2"/>
    </xf>
    <xf numFmtId="0" fontId="0" fillId="2" borderId="0" xfId="0" applyFill="1" applyBorder="1" applyAlignment="1">
      <alignment horizontal="left"/>
    </xf>
    <xf numFmtId="0" fontId="0" fillId="0" borderId="0" xfId="0" applyFill="1" applyBorder="1" applyAlignment="1">
      <alignment wrapText="1"/>
    </xf>
    <xf numFmtId="3" fontId="0" fillId="0" borderId="0" xfId="0" applyNumberFormat="1" applyFill="1" applyBorder="1"/>
    <xf numFmtId="0" fontId="0" fillId="2" borderId="0" xfId="0" applyFill="1" applyBorder="1" applyAlignment="1">
      <alignment wrapText="1"/>
    </xf>
    <xf numFmtId="0" fontId="2" fillId="13" borderId="3" xfId="0" applyFont="1" applyFill="1" applyBorder="1" applyAlignment="1">
      <alignment horizontal="center"/>
    </xf>
    <xf numFmtId="0" fontId="0" fillId="2" borderId="0" xfId="0" applyFill="1" applyAlignment="1">
      <alignment horizontal="left" indent="2"/>
    </xf>
    <xf numFmtId="0" fontId="0" fillId="0" borderId="0" xfId="0" applyFill="1" applyBorder="1" applyAlignment="1"/>
    <xf numFmtId="0" fontId="0" fillId="2" borderId="0" xfId="0" applyFill="1" applyAlignment="1"/>
    <xf numFmtId="0" fontId="0" fillId="0" borderId="0" xfId="0" applyAlignment="1">
      <alignment horizontal="left" indent="1"/>
    </xf>
    <xf numFmtId="0" fontId="6" fillId="0" borderId="0" xfId="0" applyFont="1" applyFill="1" applyBorder="1" applyAlignment="1">
      <alignment wrapText="1"/>
    </xf>
    <xf numFmtId="0" fontId="0" fillId="2" borderId="0" xfId="0" applyFill="1" applyBorder="1" applyAlignment="1">
      <alignment horizontal="left" wrapText="1"/>
    </xf>
    <xf numFmtId="0" fontId="0" fillId="2" borderId="2" xfId="0" applyFill="1" applyBorder="1" applyAlignment="1">
      <alignment horizontal="left" wrapText="1"/>
    </xf>
    <xf numFmtId="0" fontId="0" fillId="2" borderId="1" xfId="0" applyFont="1" applyFill="1" applyBorder="1" applyAlignment="1">
      <alignment horizontal="left" wrapText="1"/>
    </xf>
    <xf numFmtId="0" fontId="34" fillId="0" borderId="0" xfId="0" applyFont="1" applyFill="1" applyBorder="1" applyAlignment="1">
      <alignment wrapText="1"/>
    </xf>
    <xf numFmtId="0" fontId="0" fillId="0" borderId="0" xfId="0" applyBorder="1" applyAlignment="1"/>
    <xf numFmtId="0" fontId="0" fillId="0" borderId="0" xfId="0" applyFont="1" applyBorder="1" applyAlignment="1"/>
    <xf numFmtId="0" fontId="19" fillId="0" borderId="0" xfId="4" applyFont="1" applyAlignment="1" applyProtection="1">
      <alignment vertical="top"/>
    </xf>
    <xf numFmtId="0" fontId="17" fillId="0" borderId="0" xfId="6" applyFont="1" applyAlignment="1">
      <alignment vertical="top"/>
    </xf>
    <xf numFmtId="0" fontId="16" fillId="0" borderId="0" xfId="6" applyFont="1" applyAlignment="1">
      <alignment vertical="top"/>
    </xf>
    <xf numFmtId="0" fontId="17" fillId="10" borderId="1" xfId="6" applyFont="1" applyFill="1" applyBorder="1" applyAlignment="1">
      <alignment horizontal="center" vertical="top"/>
    </xf>
    <xf numFmtId="0" fontId="16" fillId="0" borderId="3" xfId="6" applyFont="1" applyBorder="1" applyAlignment="1">
      <alignment horizontal="justify" vertical="top"/>
    </xf>
    <xf numFmtId="0" fontId="16" fillId="0" borderId="0" xfId="6" applyFont="1" applyBorder="1" applyAlignment="1">
      <alignment horizontal="justify" vertical="top"/>
    </xf>
    <xf numFmtId="0" fontId="5" fillId="0" borderId="3" xfId="6" applyFont="1" applyBorder="1" applyAlignment="1">
      <alignment horizontal="justify" vertical="top"/>
    </xf>
    <xf numFmtId="0" fontId="16" fillId="0" borderId="3" xfId="6" applyFont="1" applyBorder="1" applyAlignment="1">
      <alignment horizontal="justify" vertical="top" wrapText="1"/>
    </xf>
    <xf numFmtId="0" fontId="16" fillId="0" borderId="0" xfId="6" applyFont="1" applyBorder="1" applyAlignment="1">
      <alignment horizontal="justify" vertical="top" wrapText="1"/>
    </xf>
    <xf numFmtId="0" fontId="17" fillId="2" borderId="3" xfId="6" applyFont="1" applyFill="1" applyBorder="1" applyAlignment="1">
      <alignment horizontal="justify" vertical="top"/>
    </xf>
    <xf numFmtId="0" fontId="17" fillId="0" borderId="3" xfId="6" applyFont="1" applyBorder="1" applyAlignment="1">
      <alignment horizontal="justify" vertical="top"/>
    </xf>
    <xf numFmtId="0" fontId="4" fillId="5" borderId="3" xfId="8" applyFont="1" applyFill="1" applyBorder="1" applyAlignment="1">
      <alignment horizontal="justify" vertical="top"/>
    </xf>
    <xf numFmtId="0" fontId="4" fillId="0" borderId="3" xfId="6" applyFont="1" applyBorder="1" applyAlignment="1">
      <alignment horizontal="justify" vertical="top"/>
    </xf>
    <xf numFmtId="0" fontId="23" fillId="9" borderId="0" xfId="6" applyFont="1" applyFill="1" applyBorder="1" applyAlignment="1">
      <alignment horizontal="left" vertical="top"/>
    </xf>
    <xf numFmtId="49" fontId="67" fillId="0" borderId="0" xfId="0" applyNumberFormat="1" applyFont="1" applyAlignment="1">
      <alignment horizontal="right"/>
    </xf>
    <xf numFmtId="41" fontId="34" fillId="0" borderId="0" xfId="0" applyNumberFormat="1" applyFont="1" applyFill="1" applyBorder="1" applyAlignment="1">
      <alignment vertical="center"/>
    </xf>
    <xf numFmtId="0" fontId="2" fillId="0" borderId="2" xfId="0" applyFont="1" applyBorder="1" applyAlignment="1">
      <alignment horizontal="left"/>
    </xf>
    <xf numFmtId="2" fontId="0" fillId="0" borderId="0" xfId="252" applyNumberFormat="1" applyFont="1" applyFill="1" applyBorder="1" applyAlignment="1">
      <alignment horizontal="right" vertical="center"/>
    </xf>
    <xf numFmtId="2" fontId="67" fillId="2" borderId="0" xfId="0" applyNumberFormat="1" applyFont="1" applyFill="1" applyAlignment="1">
      <alignment horizontal="center"/>
    </xf>
    <xf numFmtId="2" fontId="67" fillId="2" borderId="0" xfId="0" applyNumberFormat="1" applyFont="1" applyFill="1" applyAlignment="1">
      <alignment horizontal="center" vertical="center"/>
    </xf>
    <xf numFmtId="2" fontId="34" fillId="0" borderId="0" xfId="0" applyNumberFormat="1" applyFont="1" applyAlignment="1">
      <alignment horizontal="center" vertical="center" wrapText="1"/>
    </xf>
    <xf numFmtId="43" fontId="68" fillId="0" borderId="0" xfId="0" applyNumberFormat="1" applyFont="1" applyFill="1" applyBorder="1" applyAlignment="1">
      <alignment horizontal="right"/>
    </xf>
    <xf numFmtId="170" fontId="68" fillId="2" borderId="0" xfId="0" applyNumberFormat="1" applyFont="1" applyFill="1" applyBorder="1" applyAlignment="1">
      <alignment horizontal="right"/>
    </xf>
    <xf numFmtId="170" fontId="0" fillId="0" borderId="0" xfId="3" applyNumberFormat="1" applyFont="1" applyFill="1" applyBorder="1" applyAlignment="1">
      <alignment vertical="center"/>
    </xf>
    <xf numFmtId="164" fontId="0" fillId="0" borderId="0" xfId="3" applyNumberFormat="1" applyFont="1" applyFill="1" applyBorder="1" applyAlignment="1">
      <alignment vertical="center"/>
    </xf>
    <xf numFmtId="164" fontId="0" fillId="0" borderId="0" xfId="3" applyNumberFormat="1" applyFont="1" applyFill="1" applyBorder="1" applyAlignment="1">
      <alignment horizontal="right" vertical="center"/>
    </xf>
    <xf numFmtId="170" fontId="58" fillId="0" borderId="0" xfId="3" applyNumberFormat="1" applyFont="1" applyFill="1" applyBorder="1" applyAlignment="1">
      <alignment vertical="center"/>
    </xf>
    <xf numFmtId="170" fontId="2" fillId="0" borderId="2" xfId="3" applyNumberFormat="1" applyFont="1" applyFill="1" applyBorder="1" applyAlignment="1">
      <alignment vertical="center"/>
    </xf>
    <xf numFmtId="2" fontId="6" fillId="0" borderId="0" xfId="0" applyNumberFormat="1" applyFont="1" applyAlignment="1">
      <alignment horizontal="center" vertical="center"/>
    </xf>
    <xf numFmtId="164" fontId="35" fillId="0" borderId="0" xfId="3" applyNumberFormat="1" applyFont="1" applyFill="1" applyBorder="1" applyAlignment="1">
      <alignment horizontal="right" vertical="center"/>
    </xf>
    <xf numFmtId="43" fontId="68" fillId="0" borderId="0" xfId="0" applyNumberFormat="1" applyFont="1" applyFill="1" applyBorder="1" applyAlignment="1">
      <alignment horizontal="right" vertical="center"/>
    </xf>
    <xf numFmtId="170" fontId="0" fillId="0" borderId="0" xfId="0" applyNumberFormat="1" applyFill="1" applyBorder="1" applyAlignment="1"/>
    <xf numFmtId="170" fontId="0" fillId="0" borderId="0" xfId="3" applyNumberFormat="1" applyFont="1" applyFill="1" applyBorder="1" applyAlignment="1">
      <alignment horizontal="right" vertical="center"/>
    </xf>
    <xf numFmtId="0" fontId="0" fillId="2" borderId="0" xfId="0" applyFill="1" applyAlignment="1">
      <alignment wrapText="1"/>
    </xf>
    <xf numFmtId="168" fontId="69" fillId="0" borderId="0" xfId="0" applyNumberFormat="1" applyFont="1" applyFill="1" applyBorder="1" applyAlignment="1">
      <alignment horizontal="right" vertical="center"/>
    </xf>
  </cellXfs>
  <cellStyles count="253">
    <cellStyle name="Euro" xfId="9"/>
    <cellStyle name="Hipervínculo" xfId="4" builtinId="8"/>
    <cellStyle name="Hipervínculo 2" xfId="135"/>
    <cellStyle name="Millares" xfId="3" builtinId="3"/>
    <cellStyle name="Millares 2" xfId="10"/>
    <cellStyle name="Millares 2 2" xfId="131"/>
    <cellStyle name="Millares 2 2 2" xfId="134"/>
    <cellStyle name="Millares 3" xfId="129"/>
    <cellStyle name="Millares 4" xfId="136"/>
    <cellStyle name="Millares 5" xfId="133"/>
    <cellStyle name="Moneda 2" xfId="11"/>
    <cellStyle name="Moneda 2 2" xfId="137"/>
    <cellStyle name="Moneda 3" xfId="12"/>
    <cellStyle name="Normal" xfId="0" builtinId="0"/>
    <cellStyle name="Normal 10" xfId="13"/>
    <cellStyle name="Normal 100" xfId="138"/>
    <cellStyle name="Normal 101" xfId="139"/>
    <cellStyle name="Normal 102" xfId="140"/>
    <cellStyle name="Normal 103" xfId="141"/>
    <cellStyle name="Normal 104" xfId="142"/>
    <cellStyle name="Normal 105" xfId="143"/>
    <cellStyle name="Normal 106" xfId="144"/>
    <cellStyle name="Normal 107" xfId="145"/>
    <cellStyle name="Normal 108" xfId="146"/>
    <cellStyle name="Normal 109" xfId="147"/>
    <cellStyle name="Normal 11" xfId="148"/>
    <cellStyle name="Normal 110" xfId="149"/>
    <cellStyle name="Normal 111" xfId="150"/>
    <cellStyle name="Normal 112" xfId="151"/>
    <cellStyle name="Normal 113" xfId="152"/>
    <cellStyle name="Normal 114" xfId="153"/>
    <cellStyle name="Normal 115" xfId="128"/>
    <cellStyle name="Normal 116" xfId="154"/>
    <cellStyle name="Normal 117" xfId="5"/>
    <cellStyle name="Normal 12" xfId="155"/>
    <cellStyle name="Normal 13" xfId="156"/>
    <cellStyle name="Normal 14" xfId="157"/>
    <cellStyle name="Normal 15" xfId="158"/>
    <cellStyle name="Normal 16" xfId="159"/>
    <cellStyle name="Normal 17" xfId="160"/>
    <cellStyle name="Normal 18" xfId="161"/>
    <cellStyle name="Normal 19" xfId="162"/>
    <cellStyle name="Normal 2" xfId="1"/>
    <cellStyle name="Normal 2 10" xfId="14"/>
    <cellStyle name="Normal 2 100" xfId="15"/>
    <cellStyle name="Normal 2 101" xfId="16"/>
    <cellStyle name="Normal 2 102" xfId="17"/>
    <cellStyle name="Normal 2 103" xfId="18"/>
    <cellStyle name="Normal 2 104" xfId="19"/>
    <cellStyle name="Normal 2 105" xfId="20"/>
    <cellStyle name="Normal 2 106" xfId="21"/>
    <cellStyle name="Normal 2 107" xfId="22"/>
    <cellStyle name="Normal 2 108" xfId="23"/>
    <cellStyle name="Normal 2 109" xfId="24"/>
    <cellStyle name="Normal 2 11" xfId="25"/>
    <cellStyle name="Normal 2 110" xfId="26"/>
    <cellStyle name="Normal 2 111" xfId="27"/>
    <cellStyle name="Normal 2 112" xfId="28"/>
    <cellStyle name="Normal 2 113" xfId="29"/>
    <cellStyle name="Normal 2 114" xfId="127"/>
    <cellStyle name="Normal 2 114 2" xfId="132"/>
    <cellStyle name="Normal 2 12" xfId="30"/>
    <cellStyle name="Normal 2 13" xfId="31"/>
    <cellStyle name="Normal 2 14" xfId="32"/>
    <cellStyle name="Normal 2 15" xfId="33"/>
    <cellStyle name="Normal 2 16" xfId="34"/>
    <cellStyle name="Normal 2 17" xfId="35"/>
    <cellStyle name="Normal 2 18" xfId="36"/>
    <cellStyle name="Normal 2 19" xfId="37"/>
    <cellStyle name="Normal 2 2" xfId="8"/>
    <cellStyle name="Normal 2 2 2" xfId="163"/>
    <cellStyle name="Normal 2 2 2 2" xfId="164"/>
    <cellStyle name="Normal 2 20" xfId="38"/>
    <cellStyle name="Normal 2 21" xfId="39"/>
    <cellStyle name="Normal 2 22" xfId="40"/>
    <cellStyle name="Normal 2 23" xfId="41"/>
    <cellStyle name="Normal 2 24" xfId="42"/>
    <cellStyle name="Normal 2 25" xfId="43"/>
    <cellStyle name="Normal 2 26" xfId="44"/>
    <cellStyle name="Normal 2 27" xfId="45"/>
    <cellStyle name="Normal 2 28" xfId="46"/>
    <cellStyle name="Normal 2 29" xfId="47"/>
    <cellStyle name="Normal 2 3" xfId="48"/>
    <cellStyle name="Normal 2 30" xfId="49"/>
    <cellStyle name="Normal 2 31" xfId="50"/>
    <cellStyle name="Normal 2 32" xfId="51"/>
    <cellStyle name="Normal 2 33" xfId="52"/>
    <cellStyle name="Normal 2 34" xfId="53"/>
    <cellStyle name="Normal 2 35" xfId="54"/>
    <cellStyle name="Normal 2 36" xfId="55"/>
    <cellStyle name="Normal 2 37" xfId="56"/>
    <cellStyle name="Normal 2 38" xfId="57"/>
    <cellStyle name="Normal 2 39" xfId="58"/>
    <cellStyle name="Normal 2 4" xfId="59"/>
    <cellStyle name="Normal 2 40" xfId="60"/>
    <cellStyle name="Normal 2 41" xfId="61"/>
    <cellStyle name="Normal 2 42" xfId="62"/>
    <cellStyle name="Normal 2 43" xfId="63"/>
    <cellStyle name="Normal 2 44" xfId="64"/>
    <cellStyle name="Normal 2 45" xfId="65"/>
    <cellStyle name="Normal 2 46" xfId="66"/>
    <cellStyle name="Normal 2 47" xfId="67"/>
    <cellStyle name="Normal 2 48" xfId="68"/>
    <cellStyle name="Normal 2 49" xfId="69"/>
    <cellStyle name="Normal 2 5" xfId="70"/>
    <cellStyle name="Normal 2 50" xfId="71"/>
    <cellStyle name="Normal 2 51" xfId="72"/>
    <cellStyle name="Normal 2 52" xfId="73"/>
    <cellStyle name="Normal 2 53" xfId="74"/>
    <cellStyle name="Normal 2 54" xfId="75"/>
    <cellStyle name="Normal 2 55" xfId="76"/>
    <cellStyle name="Normal 2 56" xfId="77"/>
    <cellStyle name="Normal 2 57" xfId="78"/>
    <cellStyle name="Normal 2 58" xfId="79"/>
    <cellStyle name="Normal 2 59" xfId="80"/>
    <cellStyle name="Normal 2 6" xfId="81"/>
    <cellStyle name="Normal 2 60" xfId="82"/>
    <cellStyle name="Normal 2 61" xfId="83"/>
    <cellStyle name="Normal 2 62" xfId="84"/>
    <cellStyle name="Normal 2 63" xfId="85"/>
    <cellStyle name="Normal 2 64" xfId="86"/>
    <cellStyle name="Normal 2 65" xfId="87"/>
    <cellStyle name="Normal 2 66" xfId="88"/>
    <cellStyle name="Normal 2 67" xfId="89"/>
    <cellStyle name="Normal 2 68" xfId="90"/>
    <cellStyle name="Normal 2 69" xfId="91"/>
    <cellStyle name="Normal 2 7" xfId="92"/>
    <cellStyle name="Normal 2 70" xfId="93"/>
    <cellStyle name="Normal 2 71" xfId="94"/>
    <cellStyle name="Normal 2 72" xfId="95"/>
    <cellStyle name="Normal 2 73" xfId="96"/>
    <cellStyle name="Normal 2 74" xfId="97"/>
    <cellStyle name="Normal 2 75" xfId="98"/>
    <cellStyle name="Normal 2 76" xfId="99"/>
    <cellStyle name="Normal 2 77" xfId="100"/>
    <cellStyle name="Normal 2 78" xfId="101"/>
    <cellStyle name="Normal 2 79" xfId="102"/>
    <cellStyle name="Normal 2 8" xfId="103"/>
    <cellStyle name="Normal 2 80" xfId="104"/>
    <cellStyle name="Normal 2 81" xfId="105"/>
    <cellStyle name="Normal 2 82" xfId="106"/>
    <cellStyle name="Normal 2 83" xfId="107"/>
    <cellStyle name="Normal 2 84" xfId="108"/>
    <cellStyle name="Normal 2 85" xfId="109"/>
    <cellStyle name="Normal 2 86" xfId="110"/>
    <cellStyle name="Normal 2 87" xfId="111"/>
    <cellStyle name="Normal 2 88" xfId="112"/>
    <cellStyle name="Normal 2 89" xfId="113"/>
    <cellStyle name="Normal 2 9" xfId="114"/>
    <cellStyle name="Normal 2 90" xfId="115"/>
    <cellStyle name="Normal 2 91" xfId="116"/>
    <cellStyle name="Normal 2 92" xfId="117"/>
    <cellStyle name="Normal 2 93" xfId="118"/>
    <cellStyle name="Normal 2 94" xfId="119"/>
    <cellStyle name="Normal 2 95" xfId="120"/>
    <cellStyle name="Normal 2 96" xfId="121"/>
    <cellStyle name="Normal 2 97" xfId="122"/>
    <cellStyle name="Normal 2 98" xfId="123"/>
    <cellStyle name="Normal 2 99" xfId="124"/>
    <cellStyle name="Normal 2_GCTA-transacciones_cuadros_salida-20080324" xfId="125"/>
    <cellStyle name="Normal 20" xfId="165"/>
    <cellStyle name="Normal 21" xfId="166"/>
    <cellStyle name="Normal 22" xfId="167"/>
    <cellStyle name="Normal 23" xfId="168"/>
    <cellStyle name="Normal 24" xfId="169"/>
    <cellStyle name="Normal 25" xfId="170"/>
    <cellStyle name="Normal 26" xfId="171"/>
    <cellStyle name="Normal 27" xfId="172"/>
    <cellStyle name="Normal 28" xfId="173"/>
    <cellStyle name="Normal 29" xfId="174"/>
    <cellStyle name="Normal 3" xfId="7"/>
    <cellStyle name="Normal 3 2" xfId="175"/>
    <cellStyle name="Normal 3 2 2" xfId="130"/>
    <cellStyle name="Normal 30" xfId="176"/>
    <cellStyle name="Normal 31" xfId="177"/>
    <cellStyle name="Normal 32" xfId="178"/>
    <cellStyle name="Normal 33" xfId="179"/>
    <cellStyle name="Normal 34" xfId="180"/>
    <cellStyle name="Normal 35" xfId="181"/>
    <cellStyle name="Normal 36" xfId="182"/>
    <cellStyle name="Normal 37" xfId="183"/>
    <cellStyle name="Normal 38" xfId="184"/>
    <cellStyle name="Normal 39" xfId="185"/>
    <cellStyle name="Normal 4" xfId="126"/>
    <cellStyle name="Normal 4 2" xfId="186"/>
    <cellStyle name="Normal 40" xfId="187"/>
    <cellStyle name="Normal 41" xfId="188"/>
    <cellStyle name="Normal 42" xfId="189"/>
    <cellStyle name="Normal 43" xfId="190"/>
    <cellStyle name="Normal 44" xfId="191"/>
    <cellStyle name="Normal 45" xfId="192"/>
    <cellStyle name="Normal 46" xfId="193"/>
    <cellStyle name="Normal 47" xfId="194"/>
    <cellStyle name="Normal 48" xfId="195"/>
    <cellStyle name="Normal 49" xfId="196"/>
    <cellStyle name="Normal 5" xfId="197"/>
    <cellStyle name="Normal 50" xfId="198"/>
    <cellStyle name="Normal 51" xfId="199"/>
    <cellStyle name="Normal 52" xfId="200"/>
    <cellStyle name="Normal 53" xfId="201"/>
    <cellStyle name="Normal 54" xfId="202"/>
    <cellStyle name="Normal 55" xfId="203"/>
    <cellStyle name="Normal 56" xfId="204"/>
    <cellStyle name="Normal 57" xfId="205"/>
    <cellStyle name="Normal 58" xfId="206"/>
    <cellStyle name="Normal 59" xfId="207"/>
    <cellStyle name="Normal 6" xfId="208"/>
    <cellStyle name="Normal 60" xfId="209"/>
    <cellStyle name="Normal 61" xfId="210"/>
    <cellStyle name="Normal 62" xfId="211"/>
    <cellStyle name="Normal 63" xfId="212"/>
    <cellStyle name="Normal 64" xfId="213"/>
    <cellStyle name="Normal 65" xfId="214"/>
    <cellStyle name="Normal 66" xfId="215"/>
    <cellStyle name="Normal 67" xfId="216"/>
    <cellStyle name="Normal 68" xfId="217"/>
    <cellStyle name="Normal 69" xfId="218"/>
    <cellStyle name="Normal 7" xfId="219"/>
    <cellStyle name="Normal 70" xfId="220"/>
    <cellStyle name="Normal 71" xfId="221"/>
    <cellStyle name="Normal 72" xfId="222"/>
    <cellStyle name="Normal 73" xfId="223"/>
    <cellStyle name="Normal 74" xfId="224"/>
    <cellStyle name="Normal 75" xfId="225"/>
    <cellStyle name="Normal 76" xfId="226"/>
    <cellStyle name="Normal 77" xfId="227"/>
    <cellStyle name="Normal 78" xfId="228"/>
    <cellStyle name="Normal 79" xfId="229"/>
    <cellStyle name="Normal 8" xfId="230"/>
    <cellStyle name="Normal 80" xfId="231"/>
    <cellStyle name="Normal 81" xfId="232"/>
    <cellStyle name="Normal 82" xfId="233"/>
    <cellStyle name="Normal 83" xfId="234"/>
    <cellStyle name="Normal 84" xfId="235"/>
    <cellStyle name="Normal 85" xfId="236"/>
    <cellStyle name="Normal 86" xfId="237"/>
    <cellStyle name="Normal 87" xfId="238"/>
    <cellStyle name="Normal 88" xfId="239"/>
    <cellStyle name="Normal 89" xfId="240"/>
    <cellStyle name="Normal 9" xfId="241"/>
    <cellStyle name="Normal 90" xfId="242"/>
    <cellStyle name="Normal 91" xfId="243"/>
    <cellStyle name="Normal 92" xfId="244"/>
    <cellStyle name="Normal 93" xfId="245"/>
    <cellStyle name="Normal 94" xfId="246"/>
    <cellStyle name="Normal 95" xfId="247"/>
    <cellStyle name="Normal 96" xfId="248"/>
    <cellStyle name="Normal 97" xfId="249"/>
    <cellStyle name="Normal 98" xfId="250"/>
    <cellStyle name="Normal 99" xfId="251"/>
    <cellStyle name="Normal_Ejemplo de cuadros de salida" xfId="6"/>
    <cellStyle name="Porcentual" xfId="252" builtinId="5"/>
    <cellStyle name="Porcentual 2" xfId="2"/>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chart1.xml><?xml version="1.0" encoding="utf-8"?>
<c:chartSpace xmlns:c="http://schemas.openxmlformats.org/drawingml/2006/chart" xmlns:a="http://schemas.openxmlformats.org/drawingml/2006/main" xmlns:r="http://schemas.openxmlformats.org/officeDocument/2006/relationships">
  <c:lang val="es-ES"/>
  <c:chart>
    <c:title>
      <c:tx>
        <c:rich>
          <a:bodyPr/>
          <a:lstStyle/>
          <a:p>
            <a:pPr>
              <a:defRPr/>
            </a:pPr>
            <a:r>
              <a:rPr lang="en-US" sz="1400"/>
              <a:t>Gobiernos locales: gastos corrientes y de capital por clasificación de actividades de protección ambiental (CAPA), primer nivel</a:t>
            </a:r>
          </a:p>
          <a:p>
            <a:pPr>
              <a:defRPr/>
            </a:pPr>
            <a:r>
              <a:rPr lang="en-US" sz="1400"/>
              <a:t>Año 2006</a:t>
            </a:r>
          </a:p>
          <a:p>
            <a:pPr>
              <a:defRPr/>
            </a:pPr>
            <a:r>
              <a:rPr lang="en-US" sz="1200"/>
              <a:t>(millones</a:t>
            </a:r>
            <a:r>
              <a:rPr lang="en-US" sz="1200" baseline="0"/>
              <a:t> de quetzales corrientes)</a:t>
            </a:r>
            <a:endParaRPr lang="en-US" sz="1200"/>
          </a:p>
        </c:rich>
      </c:tx>
    </c:title>
    <c:plotArea>
      <c:layout>
        <c:manualLayout>
          <c:layoutTarget val="inner"/>
          <c:xMode val="edge"/>
          <c:yMode val="edge"/>
          <c:x val="2.2857142857142982E-2"/>
          <c:y val="0.37564437694019231"/>
          <c:w val="0.95809523809524022"/>
          <c:h val="0.4352156361165514"/>
        </c:manualLayout>
      </c:layout>
      <c:barChart>
        <c:barDir val="col"/>
        <c:grouping val="clustered"/>
        <c:ser>
          <c:idx val="0"/>
          <c:order val="0"/>
          <c:tx>
            <c:v>Gastos corrientes</c:v>
          </c:tx>
          <c:cat>
            <c:strRef>
              <c:f>'1.1'!$C$11:$C$15</c:f>
              <c:strCache>
                <c:ptCount val="4"/>
                <c:pt idx="0">
                  <c:v>Gestión de aguas residuales</c:v>
                </c:pt>
                <c:pt idx="1">
                  <c:v>Gestión de residuos</c:v>
                </c:pt>
                <c:pt idx="2">
                  <c:v>Protección a la biodiversidad y los paisajes</c:v>
                </c:pt>
                <c:pt idx="3">
                  <c:v>Otras actividades</c:v>
                </c:pt>
              </c:strCache>
            </c:strRef>
          </c:cat>
          <c:val>
            <c:numRef>
              <c:f>'1.1'!$G$11:$G$15</c:f>
              <c:numCache>
                <c:formatCode>_(* #,##0.0_);_(* \(#,##0.0\);_(* "-"??_);_(@_)</c:formatCode>
                <c:ptCount val="5"/>
                <c:pt idx="0">
                  <c:v>1.2685458608</c:v>
                </c:pt>
                <c:pt idx="1">
                  <c:v>29.900308559999999</c:v>
                </c:pt>
                <c:pt idx="2">
                  <c:v>5.2564636299999998</c:v>
                </c:pt>
                <c:pt idx="3">
                  <c:v>3.76576807</c:v>
                </c:pt>
                <c:pt idx="4">
                  <c:v>40.191086120800001</c:v>
                </c:pt>
              </c:numCache>
            </c:numRef>
          </c:val>
        </c:ser>
        <c:ser>
          <c:idx val="1"/>
          <c:order val="1"/>
          <c:tx>
            <c:v>Gastos de capital</c:v>
          </c:tx>
          <c:cat>
            <c:strRef>
              <c:f>'1.1'!$C$11:$C$15</c:f>
              <c:strCache>
                <c:ptCount val="4"/>
                <c:pt idx="0">
                  <c:v>Gestión de aguas residuales</c:v>
                </c:pt>
                <c:pt idx="1">
                  <c:v>Gestión de residuos</c:v>
                </c:pt>
                <c:pt idx="2">
                  <c:v>Protección a la biodiversidad y los paisajes</c:v>
                </c:pt>
                <c:pt idx="3">
                  <c:v>Otras actividades</c:v>
                </c:pt>
              </c:strCache>
            </c:strRef>
          </c:cat>
          <c:val>
            <c:numRef>
              <c:f>'1.1'!$H$11:$H$15</c:f>
              <c:numCache>
                <c:formatCode>_(* #,##0.0_);_(* \(#,##0.0\);_(* "-"??_);_(@_)</c:formatCode>
                <c:ptCount val="5"/>
                <c:pt idx="0">
                  <c:v>2.9421007792</c:v>
                </c:pt>
                <c:pt idx="1">
                  <c:v>5.54996884</c:v>
                </c:pt>
                <c:pt idx="2">
                  <c:v>9.9164009999999997E-2</c:v>
                </c:pt>
                <c:pt idx="3">
                  <c:v>4.9125000000000002E-2</c:v>
                </c:pt>
                <c:pt idx="4">
                  <c:v>8.6403586291999996</c:v>
                </c:pt>
              </c:numCache>
            </c:numRef>
          </c:val>
        </c:ser>
        <c:dLbls>
          <c:showVal val="1"/>
        </c:dLbls>
        <c:axId val="118655232"/>
        <c:axId val="118673408"/>
      </c:barChart>
      <c:catAx>
        <c:axId val="118655232"/>
        <c:scaling>
          <c:orientation val="minMax"/>
        </c:scaling>
        <c:axPos val="b"/>
        <c:majorTickMark val="none"/>
        <c:tickLblPos val="nextTo"/>
        <c:crossAx val="118673408"/>
        <c:crosses val="autoZero"/>
        <c:auto val="1"/>
        <c:lblAlgn val="ctr"/>
        <c:lblOffset val="100"/>
      </c:catAx>
      <c:valAx>
        <c:axId val="118673408"/>
        <c:scaling>
          <c:orientation val="minMax"/>
        </c:scaling>
        <c:delete val="1"/>
        <c:axPos val="l"/>
        <c:numFmt formatCode="_(* #,##0.0_);_(* \(#,##0.0\);_(* &quot;-&quot;??_);_(@_)" sourceLinked="1"/>
        <c:majorTickMark val="none"/>
        <c:tickLblPos val="none"/>
        <c:crossAx val="118655232"/>
        <c:crosses val="autoZero"/>
        <c:crossBetween val="between"/>
      </c:valAx>
    </c:plotArea>
    <c:legend>
      <c:legendPos val="t"/>
    </c:legend>
    <c:plotVisOnly val="1"/>
  </c:chart>
  <c:printSettings>
    <c:headerFooter/>
    <c:pageMargins b="0.75000000000000244" l="0.70000000000000062" r="0.70000000000000062" t="0.75000000000000244"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lang val="es-ES"/>
  <c:chart>
    <c:title/>
    <c:plotArea>
      <c:layout>
        <c:manualLayout>
          <c:layoutTarget val="inner"/>
          <c:xMode val="edge"/>
          <c:yMode val="edge"/>
          <c:x val="0.1796272965879277"/>
          <c:y val="0.19480351414406533"/>
          <c:w val="0.80648381452318774"/>
          <c:h val="0.65482210557013765"/>
        </c:manualLayout>
      </c:layout>
      <c:barChart>
        <c:barDir val="col"/>
        <c:grouping val="clustered"/>
        <c:ser>
          <c:idx val="0"/>
          <c:order val="0"/>
          <c:dLbls>
            <c:dLbl>
              <c:idx val="2"/>
              <c:showVal val="1"/>
              <c:showSerName val="1"/>
            </c:dLbl>
            <c:delete val="1"/>
          </c:dLbls>
          <c:cat>
            <c:strRef>
              <c:f>'1.1'!$C$17:$C$19</c:f>
              <c:strCache>
                <c:ptCount val="2"/>
                <c:pt idx="0">
                  <c:v>Aguas interiores</c:v>
                </c:pt>
                <c:pt idx="1">
                  <c:v>Recursos forestales</c:v>
                </c:pt>
              </c:strCache>
            </c:strRef>
          </c:cat>
          <c:val>
            <c:numRef>
              <c:f>'1.1'!$G$17:$G$19</c:f>
              <c:numCache>
                <c:formatCode>_(* #,##0.0_);_(* \(#,##0.0\);_(* "-"??_);_(@_)</c:formatCode>
                <c:ptCount val="3"/>
                <c:pt idx="0">
                  <c:v>2.7534903500000003</c:v>
                </c:pt>
                <c:pt idx="1">
                  <c:v>2.1204722200000004</c:v>
                </c:pt>
                <c:pt idx="2">
                  <c:v>4.8739625700000007</c:v>
                </c:pt>
              </c:numCache>
            </c:numRef>
          </c:val>
        </c:ser>
        <c:ser>
          <c:idx val="1"/>
          <c:order val="1"/>
          <c:dLbls>
            <c:dLbl>
              <c:idx val="2"/>
              <c:showVal val="1"/>
              <c:showSerName val="1"/>
            </c:dLbl>
            <c:delete val="1"/>
          </c:dLbls>
          <c:cat>
            <c:strRef>
              <c:f>'1.1'!$C$17:$C$19</c:f>
              <c:strCache>
                <c:ptCount val="2"/>
                <c:pt idx="0">
                  <c:v>Aguas interiores</c:v>
                </c:pt>
                <c:pt idx="1">
                  <c:v>Recursos forestales</c:v>
                </c:pt>
              </c:strCache>
            </c:strRef>
          </c:cat>
          <c:val>
            <c:numRef>
              <c:f>'1.1'!$H$17:$H$19</c:f>
              <c:numCache>
                <c:formatCode>_(* #,##0.000_);_(* \(#,##0.000\);_(* "-"??_);_(@_)</c:formatCode>
                <c:ptCount val="3"/>
                <c:pt idx="0">
                  <c:v>0</c:v>
                </c:pt>
                <c:pt idx="1">
                  <c:v>0</c:v>
                </c:pt>
                <c:pt idx="2">
                  <c:v>0</c:v>
                </c:pt>
              </c:numCache>
            </c:numRef>
          </c:val>
        </c:ser>
        <c:ser>
          <c:idx val="2"/>
          <c:order val="2"/>
          <c:dLbls>
            <c:dLbl>
              <c:idx val="2"/>
              <c:showVal val="1"/>
              <c:showSerName val="1"/>
            </c:dLbl>
            <c:delete val="1"/>
          </c:dLbls>
          <c:cat>
            <c:strRef>
              <c:f>'1.1'!$C$17:$C$19</c:f>
              <c:strCache>
                <c:ptCount val="2"/>
                <c:pt idx="0">
                  <c:v>Aguas interiores</c:v>
                </c:pt>
                <c:pt idx="1">
                  <c:v>Recursos forestales</c:v>
                </c:pt>
              </c:strCache>
            </c:strRef>
          </c:cat>
          <c:val>
            <c:numRef>
              <c:f>'1.1'!$I$17:$I$19</c:f>
              <c:numCache>
                <c:formatCode>_(* #,##0.0_);_(* \(#,##0.0\);_(* "-"??_);_(@_)</c:formatCode>
                <c:ptCount val="3"/>
                <c:pt idx="0">
                  <c:v>2.7534903500000003</c:v>
                </c:pt>
                <c:pt idx="1">
                  <c:v>2.1204722200000004</c:v>
                </c:pt>
                <c:pt idx="2">
                  <c:v>4.8739625700000007</c:v>
                </c:pt>
              </c:numCache>
            </c:numRef>
          </c:val>
        </c:ser>
        <c:axId val="118770304"/>
        <c:axId val="118788480"/>
      </c:barChart>
      <c:catAx>
        <c:axId val="118770304"/>
        <c:scaling>
          <c:orientation val="minMax"/>
        </c:scaling>
        <c:axPos val="b"/>
        <c:majorTickMark val="none"/>
        <c:tickLblPos val="nextTo"/>
        <c:crossAx val="118788480"/>
        <c:crosses val="autoZero"/>
        <c:auto val="1"/>
        <c:lblAlgn val="ctr"/>
        <c:lblOffset val="100"/>
      </c:catAx>
      <c:valAx>
        <c:axId val="118788480"/>
        <c:scaling>
          <c:orientation val="minMax"/>
        </c:scaling>
        <c:axPos val="l"/>
        <c:majorGridlines/>
        <c:title/>
        <c:numFmt formatCode="_(* #,##0.0_);_(* \(#,##0.0\);_(* &quot;-&quot;??_);_(@_)" sourceLinked="1"/>
        <c:majorTickMark val="none"/>
        <c:tickLblPos val="nextTo"/>
        <c:crossAx val="118770304"/>
        <c:crosses val="autoZero"/>
        <c:crossBetween val="between"/>
      </c:valAx>
    </c:plotArea>
    <c:plotVisOnly val="1"/>
  </c:chart>
  <c:printSettings>
    <c:headerFooter/>
    <c:pageMargins b="0.75000000000000244" l="0.70000000000000062" r="0.70000000000000062" t="0.75000000000000244" header="0.30000000000000032" footer="0.30000000000000032"/>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2</xdr:col>
      <xdr:colOff>9525</xdr:colOff>
      <xdr:row>1</xdr:row>
      <xdr:rowOff>9525</xdr:rowOff>
    </xdr:from>
    <xdr:to>
      <xdr:col>5</xdr:col>
      <xdr:colOff>76200</xdr:colOff>
      <xdr:row>5</xdr:row>
      <xdr:rowOff>114300</xdr:rowOff>
    </xdr:to>
    <xdr:pic>
      <xdr:nvPicPr>
        <xdr:cNvPr id="2" name="1 Imagen" descr="URL_NEGRO_pequeño.jpg"/>
        <xdr:cNvPicPr/>
      </xdr:nvPicPr>
      <xdr:blipFill>
        <a:blip xmlns:r="http://schemas.openxmlformats.org/officeDocument/2006/relationships" r:embed="rId1" cstate="print"/>
        <a:srcRect/>
        <a:stretch>
          <a:fillRect/>
        </a:stretch>
      </xdr:blipFill>
      <xdr:spPr bwMode="auto">
        <a:xfrm>
          <a:off x="1381125" y="171450"/>
          <a:ext cx="2124075" cy="752475"/>
        </a:xfrm>
        <a:prstGeom prst="rect">
          <a:avLst/>
        </a:prstGeom>
        <a:noFill/>
        <a:ln w="9525">
          <a:noFill/>
          <a:miter lim="800000"/>
          <a:headEnd/>
          <a:tailEnd/>
        </a:ln>
      </xdr:spPr>
    </xdr:pic>
    <xdr:clientData/>
  </xdr:twoCellAnchor>
  <xdr:twoCellAnchor editAs="oneCell">
    <xdr:from>
      <xdr:col>5</xdr:col>
      <xdr:colOff>133350</xdr:colOff>
      <xdr:row>1</xdr:row>
      <xdr:rowOff>19050</xdr:rowOff>
    </xdr:from>
    <xdr:to>
      <xdr:col>8</xdr:col>
      <xdr:colOff>228600</xdr:colOff>
      <xdr:row>5</xdr:row>
      <xdr:rowOff>85725</xdr:rowOff>
    </xdr:to>
    <xdr:pic>
      <xdr:nvPicPr>
        <xdr:cNvPr id="3" name="2 Imagen" descr="identidad tipográfica IARNA.jpg"/>
        <xdr:cNvPicPr/>
      </xdr:nvPicPr>
      <xdr:blipFill>
        <a:blip xmlns:r="http://schemas.openxmlformats.org/officeDocument/2006/relationships" r:embed="rId2" cstate="print"/>
        <a:srcRect/>
        <a:stretch>
          <a:fillRect/>
        </a:stretch>
      </xdr:blipFill>
      <xdr:spPr bwMode="auto">
        <a:xfrm>
          <a:off x="3562350" y="180975"/>
          <a:ext cx="2152650" cy="71437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19050</xdr:colOff>
      <xdr:row>51</xdr:row>
      <xdr:rowOff>19050</xdr:rowOff>
    </xdr:from>
    <xdr:to>
      <xdr:col>8</xdr:col>
      <xdr:colOff>142875</xdr:colOff>
      <xdr:row>74</xdr:row>
      <xdr:rowOff>47625</xdr:rowOff>
    </xdr:to>
    <xdr:graphicFrame macro="[0]!Gráfico_Haga_clic_en">
      <xdr:nvGraphicFramePr>
        <xdr:cNvPr id="24" name="23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80</xdr:row>
      <xdr:rowOff>0</xdr:rowOff>
    </xdr:from>
    <xdr:to>
      <xdr:col>5</xdr:col>
      <xdr:colOff>314325</xdr:colOff>
      <xdr:row>96</xdr:row>
      <xdr:rowOff>152400</xdr:rowOff>
    </xdr:to>
    <xdr:graphicFrame macro="">
      <xdr:nvGraphicFramePr>
        <xdr:cNvPr id="32" name="31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0.83143</cdr:x>
      <cdr:y>0.75635</cdr:y>
    </cdr:from>
    <cdr:to>
      <cdr:x>0.96857</cdr:x>
      <cdr:y>1</cdr:y>
    </cdr:to>
    <cdr:sp macro="" textlink="">
      <cdr:nvSpPr>
        <cdr:cNvPr id="2" name="1 CuadroTexto"/>
        <cdr:cNvSpPr txBox="1"/>
      </cdr:nvSpPr>
      <cdr:spPr>
        <a:xfrm xmlns:a="http://schemas.openxmlformats.org/drawingml/2006/main">
          <a:off x="5543550" y="2838450"/>
          <a:ext cx="914400" cy="914400"/>
        </a:xfrm>
        <a:prstGeom xmlns:a="http://schemas.openxmlformats.org/drawingml/2006/main" prst="rect">
          <a:avLst/>
        </a:prstGeom>
      </cdr:spPr>
      <cdr:txBody>
        <a:bodyPr xmlns:a="http://schemas.openxmlformats.org/drawingml/2006/main" wrap="none" rtlCol="0"/>
        <a:lstStyle xmlns:a="http://schemas.openxmlformats.org/drawingml/2006/main"/>
        <a:p xmlns:a="http://schemas.openxmlformats.org/drawingml/2006/main">
          <a:endParaRPr lang="es-ES" sz="1100"/>
        </a:p>
      </cdr:txBody>
    </cdr:sp>
  </cdr:relSizeAnchor>
  <cdr:relSizeAnchor xmlns:cdr="http://schemas.openxmlformats.org/drawingml/2006/chartDrawing">
    <cdr:from>
      <cdr:x>0.83857</cdr:x>
      <cdr:y>0.75635</cdr:y>
    </cdr:from>
    <cdr:to>
      <cdr:x>0.97571</cdr:x>
      <cdr:y>1</cdr:y>
    </cdr:to>
    <cdr:sp macro="" textlink="">
      <cdr:nvSpPr>
        <cdr:cNvPr id="3" name="2 CuadroTexto"/>
        <cdr:cNvSpPr txBox="1"/>
      </cdr:nvSpPr>
      <cdr:spPr>
        <a:xfrm xmlns:a="http://schemas.openxmlformats.org/drawingml/2006/main">
          <a:off x="5591175" y="3314700"/>
          <a:ext cx="914400" cy="914400"/>
        </a:xfrm>
        <a:prstGeom xmlns:a="http://schemas.openxmlformats.org/drawingml/2006/main" prst="rect">
          <a:avLst/>
        </a:prstGeom>
      </cdr:spPr>
      <cdr:txBody>
        <a:bodyPr xmlns:a="http://schemas.openxmlformats.org/drawingml/2006/main" wrap="none" rtlCol="0"/>
        <a:lstStyle xmlns:a="http://schemas.openxmlformats.org/drawingml/2006/main"/>
        <a:p xmlns:a="http://schemas.openxmlformats.org/drawingml/2006/main">
          <a:r>
            <a:rPr lang="es-ES" sz="1100" baseline="0"/>
            <a:t>                                    </a:t>
          </a:r>
          <a:endParaRPr lang="es-ES" sz="1100"/>
        </a:p>
      </cdr:txBody>
    </cdr:sp>
  </cdr:relSizeAnchor>
  <cdr:relSizeAnchor xmlns:cdr="http://schemas.openxmlformats.org/drawingml/2006/chartDrawing">
    <cdr:from>
      <cdr:x>0.82429</cdr:x>
      <cdr:y>0.84772</cdr:y>
    </cdr:from>
    <cdr:to>
      <cdr:x>0.97</cdr:x>
      <cdr:y>0.95431</cdr:y>
    </cdr:to>
    <cdr:sp macro="" textlink="">
      <cdr:nvSpPr>
        <cdr:cNvPr id="4" name="3 CuadroTexto"/>
        <cdr:cNvSpPr txBox="1"/>
      </cdr:nvSpPr>
      <cdr:spPr>
        <a:xfrm xmlns:a="http://schemas.openxmlformats.org/drawingml/2006/main">
          <a:off x="5495925" y="3181350"/>
          <a:ext cx="971550" cy="400050"/>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pPr algn="ctr"/>
          <a:r>
            <a:rPr lang="es-ES" sz="1100"/>
            <a:t>Total </a:t>
          </a:r>
          <a:r>
            <a:rPr lang="es-ES" sz="900">
              <a:latin typeface="+mn-lt"/>
            </a:rPr>
            <a:t>gastos</a:t>
          </a:r>
          <a:r>
            <a:rPr lang="es-ES" sz="1100"/>
            <a:t> CAPA </a:t>
          </a:r>
        </a:p>
      </cdr:txBody>
    </cdr:sp>
  </cdr:relSizeAnchor>
</c:userShape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pageSetUpPr fitToPage="1"/>
  </sheetPr>
  <dimension ref="A30:I60"/>
  <sheetViews>
    <sheetView showGridLines="0" workbookViewId="0">
      <selection activeCell="C44" sqref="C44"/>
    </sheetView>
  </sheetViews>
  <sheetFormatPr baseColWidth="10" defaultRowHeight="12.75"/>
  <cols>
    <col min="1" max="1" width="16" style="485" customWidth="1"/>
    <col min="2" max="16384" width="12" style="485"/>
  </cols>
  <sheetData>
    <row r="30" spans="1:9" ht="12.75" customHeight="1">
      <c r="A30" s="499" t="s">
        <v>491</v>
      </c>
      <c r="B30" s="500"/>
      <c r="C30" s="501"/>
      <c r="D30" s="500"/>
      <c r="E30" s="500"/>
      <c r="F30" s="500"/>
      <c r="G30" s="500"/>
      <c r="H30" s="500"/>
      <c r="I30" s="500"/>
    </row>
    <row r="31" spans="1:9" ht="12.75" customHeight="1">
      <c r="A31" s="499" t="s">
        <v>492</v>
      </c>
      <c r="B31" s="500"/>
      <c r="C31" s="501"/>
      <c r="D31" s="500"/>
      <c r="E31" s="500"/>
      <c r="F31" s="500"/>
      <c r="G31" s="500"/>
      <c r="H31" s="500"/>
      <c r="I31" s="500"/>
    </row>
    <row r="32" spans="1:9" ht="18.75">
      <c r="A32" s="492"/>
      <c r="B32" s="493"/>
      <c r="C32" s="492"/>
      <c r="D32" s="493"/>
      <c r="E32" s="493"/>
      <c r="F32" s="493"/>
      <c r="G32" s="493"/>
      <c r="H32" s="493"/>
      <c r="I32" s="494"/>
    </row>
    <row r="51" spans="1:9">
      <c r="B51" s="495"/>
      <c r="C51" s="495"/>
      <c r="D51" s="495"/>
      <c r="E51" s="495"/>
      <c r="F51" s="495"/>
      <c r="G51" s="495"/>
      <c r="H51" s="495"/>
      <c r="I51" s="495"/>
    </row>
    <row r="53" spans="1:9">
      <c r="A53" s="495" t="s">
        <v>472</v>
      </c>
      <c r="B53" s="495"/>
      <c r="C53" s="495"/>
      <c r="D53" s="495"/>
      <c r="E53" s="495"/>
      <c r="F53" s="495"/>
      <c r="G53" s="495"/>
      <c r="H53" s="495"/>
      <c r="I53" s="495"/>
    </row>
    <row r="60" spans="1:9">
      <c r="B60" s="495"/>
      <c r="C60" s="495"/>
      <c r="D60" s="495"/>
      <c r="E60" s="495"/>
      <c r="F60" s="495"/>
      <c r="G60" s="495"/>
      <c r="H60" s="495"/>
      <c r="I60" s="495"/>
    </row>
  </sheetData>
  <pageMargins left="0.7" right="0.7" top="0.75" bottom="0.75" header="0.3" footer="0.3"/>
  <pageSetup scale="96" orientation="portrait" r:id="rId1"/>
  <drawing r:id="rId2"/>
</worksheet>
</file>

<file path=xl/worksheets/sheet10.xml><?xml version="1.0" encoding="utf-8"?>
<worksheet xmlns="http://schemas.openxmlformats.org/spreadsheetml/2006/main" xmlns:r="http://schemas.openxmlformats.org/officeDocument/2006/relationships">
  <sheetPr>
    <tabColor theme="3" tint="0.39997558519241921"/>
    <pageSetUpPr fitToPage="1"/>
  </sheetPr>
  <dimension ref="A1:N37"/>
  <sheetViews>
    <sheetView showGridLines="0" topLeftCell="A2" workbookViewId="0">
      <selection activeCell="A2" sqref="A2:I2"/>
    </sheetView>
  </sheetViews>
  <sheetFormatPr baseColWidth="10" defaultRowHeight="12.75"/>
  <cols>
    <col min="1" max="2" width="2" style="210" customWidth="1"/>
    <col min="3" max="3" width="71.5" style="210" customWidth="1"/>
    <col min="4" max="4" width="8.83203125" style="210" customWidth="1"/>
    <col min="5" max="5" width="9" style="210" customWidth="1"/>
    <col min="6" max="6" width="8.1640625" style="210" customWidth="1"/>
    <col min="7" max="7" width="8.5" style="210" customWidth="1"/>
    <col min="8" max="8" width="8.83203125" style="210" customWidth="1"/>
    <col min="9" max="9" width="7.83203125" style="210" customWidth="1"/>
    <col min="10" max="11" width="14" style="210" bestFit="1" customWidth="1"/>
    <col min="12" max="16384" width="12" style="210"/>
  </cols>
  <sheetData>
    <row r="1" spans="1:14" hidden="1">
      <c r="A1" s="51" t="s">
        <v>208</v>
      </c>
      <c r="B1" s="51"/>
      <c r="C1" s="51"/>
      <c r="D1" s="51"/>
      <c r="E1" s="51"/>
      <c r="F1" s="51"/>
      <c r="G1" s="51"/>
      <c r="H1" s="51"/>
      <c r="I1" s="41"/>
    </row>
    <row r="2" spans="1:14">
      <c r="A2" s="537" t="s">
        <v>159</v>
      </c>
      <c r="B2" s="537"/>
      <c r="C2" s="537"/>
      <c r="D2" s="537"/>
      <c r="E2" s="537"/>
      <c r="F2" s="537"/>
      <c r="G2" s="537"/>
      <c r="H2" s="537"/>
      <c r="I2" s="537"/>
    </row>
    <row r="3" spans="1:14" ht="14.25" customHeight="1">
      <c r="A3" s="41" t="s">
        <v>221</v>
      </c>
      <c r="B3" s="41"/>
      <c r="C3" s="41"/>
      <c r="D3" s="41"/>
      <c r="E3" s="41"/>
      <c r="F3" s="41"/>
      <c r="G3" s="41"/>
      <c r="H3" s="41"/>
      <c r="I3" s="41"/>
      <c r="J3" s="41"/>
      <c r="K3" s="41"/>
      <c r="L3" s="41"/>
      <c r="M3" s="41"/>
      <c r="N3" s="41"/>
    </row>
    <row r="4" spans="1:14" s="41" customFormat="1" ht="12.75" customHeight="1">
      <c r="A4" s="537" t="s">
        <v>216</v>
      </c>
      <c r="B4" s="537"/>
      <c r="C4" s="537"/>
      <c r="D4" s="537"/>
      <c r="E4" s="537"/>
      <c r="F4" s="537"/>
      <c r="G4" s="537"/>
      <c r="H4" s="537"/>
      <c r="I4" s="537"/>
    </row>
    <row r="5" spans="1:14">
      <c r="A5" s="537" t="s">
        <v>17</v>
      </c>
      <c r="B5" s="537"/>
      <c r="C5" s="537"/>
      <c r="D5" s="537"/>
      <c r="E5" s="537"/>
      <c r="F5" s="537"/>
      <c r="G5" s="537"/>
      <c r="H5" s="537"/>
      <c r="I5" s="537"/>
    </row>
    <row r="6" spans="1:14" ht="12.75" customHeight="1">
      <c r="A6" s="538" t="s">
        <v>225</v>
      </c>
      <c r="B6" s="538"/>
      <c r="C6" s="538"/>
      <c r="D6" s="538"/>
      <c r="E6" s="538"/>
      <c r="F6" s="538"/>
      <c r="G6" s="538"/>
      <c r="H6" s="538"/>
      <c r="I6" s="538"/>
    </row>
    <row r="7" spans="1:14" ht="12.75" customHeight="1">
      <c r="A7" s="539" t="s">
        <v>29</v>
      </c>
      <c r="B7" s="539"/>
      <c r="C7" s="539"/>
      <c r="D7" s="539"/>
      <c r="E7" s="539"/>
      <c r="F7" s="539"/>
      <c r="G7" s="539"/>
      <c r="H7" s="539"/>
      <c r="I7" s="539"/>
    </row>
    <row r="8" spans="1:14" ht="13.5" customHeight="1"/>
    <row r="9" spans="1:14">
      <c r="A9" s="643" t="s">
        <v>209</v>
      </c>
      <c r="B9" s="644"/>
      <c r="C9" s="645"/>
      <c r="D9" s="642">
        <v>2001</v>
      </c>
      <c r="E9" s="642">
        <v>2002</v>
      </c>
      <c r="F9" s="642">
        <v>2003</v>
      </c>
      <c r="G9" s="642">
        <v>2004</v>
      </c>
      <c r="H9" s="642">
        <v>2005</v>
      </c>
      <c r="I9" s="642">
        <v>2006</v>
      </c>
    </row>
    <row r="10" spans="1:14">
      <c r="A10" s="211" t="s">
        <v>562</v>
      </c>
      <c r="B10" s="212"/>
      <c r="C10" s="213"/>
      <c r="D10" s="271">
        <v>613.06461189000004</v>
      </c>
      <c r="E10" s="222">
        <v>668.49216634000004</v>
      </c>
      <c r="F10" s="222">
        <v>467.01796904627406</v>
      </c>
      <c r="G10" s="222">
        <v>408.85642239999999</v>
      </c>
      <c r="H10" s="223">
        <v>482.38523258888063</v>
      </c>
      <c r="I10" s="223">
        <v>471.20058035000011</v>
      </c>
    </row>
    <row r="11" spans="1:14">
      <c r="A11" s="215" t="s">
        <v>563</v>
      </c>
      <c r="B11" s="212"/>
      <c r="C11" s="213"/>
      <c r="D11" s="224">
        <v>223.94302770999997</v>
      </c>
      <c r="E11" s="224">
        <v>220.67169218000001</v>
      </c>
      <c r="F11" s="224">
        <v>203.14286331340105</v>
      </c>
      <c r="G11" s="223">
        <v>174.63159929</v>
      </c>
      <c r="H11" s="223">
        <v>154.52777441888063</v>
      </c>
      <c r="I11" s="223">
        <v>165.93090671000002</v>
      </c>
    </row>
    <row r="12" spans="1:14">
      <c r="A12" s="212"/>
      <c r="B12" s="215" t="s">
        <v>211</v>
      </c>
      <c r="C12" s="215"/>
      <c r="D12" s="224">
        <v>178.01831045999998</v>
      </c>
      <c r="E12" s="224">
        <v>164.08519717999999</v>
      </c>
      <c r="F12" s="224">
        <v>122.4033940034506</v>
      </c>
      <c r="G12" s="223">
        <v>118.12688844000002</v>
      </c>
      <c r="H12" s="223">
        <v>117.2470782388806</v>
      </c>
      <c r="I12" s="223">
        <v>121.68219582000002</v>
      </c>
    </row>
    <row r="13" spans="1:14" ht="16.5" customHeight="1">
      <c r="A13" s="212"/>
      <c r="B13" s="212"/>
      <c r="C13" s="216" t="s">
        <v>7</v>
      </c>
      <c r="D13" s="225">
        <v>1.03725</v>
      </c>
      <c r="E13" s="225">
        <v>2.272926</v>
      </c>
      <c r="F13" s="225">
        <v>1.2387589999999999</v>
      </c>
      <c r="G13" s="226">
        <v>3.5703699999999998E-2</v>
      </c>
      <c r="H13" s="226">
        <v>0.21708537</v>
      </c>
      <c r="I13" s="226">
        <v>0.69438738</v>
      </c>
    </row>
    <row r="14" spans="1:14" ht="15.75" customHeight="1">
      <c r="A14" s="212"/>
      <c r="B14" s="212"/>
      <c r="C14" s="216" t="s">
        <v>8</v>
      </c>
      <c r="D14" s="225">
        <v>0</v>
      </c>
      <c r="E14" s="225">
        <v>2.0274999999999999</v>
      </c>
      <c r="F14" s="225">
        <v>0</v>
      </c>
      <c r="G14" s="226">
        <v>0</v>
      </c>
      <c r="H14" s="226">
        <v>0</v>
      </c>
      <c r="I14" s="226">
        <v>0</v>
      </c>
    </row>
    <row r="15" spans="1:14" ht="17.25" customHeight="1">
      <c r="A15" s="212"/>
      <c r="B15" s="212"/>
      <c r="C15" s="216" t="s">
        <v>9</v>
      </c>
      <c r="D15" s="225">
        <v>113.78542546</v>
      </c>
      <c r="E15" s="225">
        <v>94.708229180000004</v>
      </c>
      <c r="F15" s="225">
        <v>70.732248003450607</v>
      </c>
      <c r="G15" s="226">
        <v>73.462996410000017</v>
      </c>
      <c r="H15" s="226">
        <v>64.706202570000002</v>
      </c>
      <c r="I15" s="226">
        <v>69.893411910000012</v>
      </c>
    </row>
    <row r="16" spans="1:14" ht="18" customHeight="1">
      <c r="A16" s="212"/>
      <c r="B16" s="212"/>
      <c r="C16" s="216" t="s">
        <v>10</v>
      </c>
      <c r="D16" s="225">
        <v>8.5537790000000005</v>
      </c>
      <c r="E16" s="225">
        <v>8.7058959999999992</v>
      </c>
      <c r="F16" s="225">
        <v>8.8657590000000006</v>
      </c>
      <c r="G16" s="226">
        <v>6.818936289999999</v>
      </c>
      <c r="H16" s="226">
        <v>7.2295737799999999</v>
      </c>
      <c r="I16" s="226">
        <v>10.180163650000001</v>
      </c>
    </row>
    <row r="17" spans="1:9" ht="12.75" customHeight="1">
      <c r="A17" s="212"/>
      <c r="B17" s="212"/>
      <c r="C17" s="216" t="s">
        <v>11</v>
      </c>
      <c r="D17" s="225">
        <v>54.641855999999997</v>
      </c>
      <c r="E17" s="225">
        <v>56.370646000000001</v>
      </c>
      <c r="F17" s="225">
        <v>41.566628000000001</v>
      </c>
      <c r="G17" s="226">
        <v>37.809252040000004</v>
      </c>
      <c r="H17" s="226">
        <v>45.094216518880607</v>
      </c>
      <c r="I17" s="226">
        <v>40.914232880000007</v>
      </c>
    </row>
    <row r="18" spans="1:9">
      <c r="A18" s="212"/>
      <c r="B18" s="215" t="s">
        <v>212</v>
      </c>
      <c r="C18" s="215"/>
      <c r="D18" s="224">
        <v>45.92471725</v>
      </c>
      <c r="E18" s="224">
        <v>56.586494999999999</v>
      </c>
      <c r="F18" s="224">
        <v>80.739469309950422</v>
      </c>
      <c r="G18" s="223">
        <v>56.504710849999995</v>
      </c>
      <c r="H18" s="223">
        <v>37.28069618</v>
      </c>
      <c r="I18" s="223">
        <v>44.248710889999998</v>
      </c>
    </row>
    <row r="19" spans="1:9" ht="15" customHeight="1">
      <c r="A19" s="212"/>
      <c r="B19" s="212"/>
      <c r="C19" s="216" t="s">
        <v>12</v>
      </c>
      <c r="D19" s="225">
        <v>17.015391000000001</v>
      </c>
      <c r="E19" s="225">
        <v>16.766389</v>
      </c>
      <c r="F19" s="225">
        <v>13.155619</v>
      </c>
      <c r="G19" s="226">
        <v>3.4079901100000005</v>
      </c>
      <c r="H19" s="226">
        <v>2.8811290000000001</v>
      </c>
      <c r="I19" s="226">
        <v>1.7411146200000001</v>
      </c>
    </row>
    <row r="20" spans="1:9" ht="13.5" customHeight="1">
      <c r="A20" s="212"/>
      <c r="B20" s="212"/>
      <c r="C20" s="216" t="s">
        <v>13</v>
      </c>
      <c r="D20" s="225">
        <v>8.2819500000000001</v>
      </c>
      <c r="E20" s="225">
        <v>7.0296750000000001</v>
      </c>
      <c r="F20" s="225">
        <v>38.824652999999998</v>
      </c>
      <c r="G20" s="226">
        <v>7.046464069999999</v>
      </c>
      <c r="H20" s="226">
        <v>8.7100504399999998</v>
      </c>
      <c r="I20" s="226">
        <v>9.3770307300000013</v>
      </c>
    </row>
    <row r="21" spans="1:9" ht="15" customHeight="1">
      <c r="A21" s="212"/>
      <c r="B21" s="212"/>
      <c r="C21" s="216" t="s">
        <v>14</v>
      </c>
      <c r="D21" s="225">
        <v>13.605354249999998</v>
      </c>
      <c r="E21" s="225">
        <v>32.790430999999998</v>
      </c>
      <c r="F21" s="225">
        <v>22.759197309950427</v>
      </c>
      <c r="G21" s="226">
        <v>43.236419669999997</v>
      </c>
      <c r="H21" s="226">
        <v>23.042485719999998</v>
      </c>
      <c r="I21" s="226">
        <v>29.099553</v>
      </c>
    </row>
    <row r="22" spans="1:9" ht="12" customHeight="1">
      <c r="A22" s="212"/>
      <c r="B22" s="212"/>
      <c r="C22" s="216" t="s">
        <v>15</v>
      </c>
      <c r="D22" s="225">
        <v>7.0220219999999998</v>
      </c>
      <c r="E22" s="225">
        <v>0</v>
      </c>
      <c r="F22" s="225">
        <v>6</v>
      </c>
      <c r="G22" s="226">
        <v>2.8138369999999999</v>
      </c>
      <c r="H22" s="226">
        <v>2.64703102</v>
      </c>
      <c r="I22" s="226">
        <v>4.0310125399999999</v>
      </c>
    </row>
    <row r="23" spans="1:9">
      <c r="A23" s="215" t="s">
        <v>564</v>
      </c>
      <c r="B23" s="212"/>
      <c r="C23" s="213"/>
      <c r="D23" s="224">
        <v>389.12158418000001</v>
      </c>
      <c r="E23" s="224">
        <v>447.82047416</v>
      </c>
      <c r="F23" s="224">
        <v>263.87510573287307</v>
      </c>
      <c r="G23" s="223">
        <v>234.22482311000002</v>
      </c>
      <c r="H23" s="223">
        <v>327.85745817000003</v>
      </c>
      <c r="I23" s="223">
        <v>305.26967364000001</v>
      </c>
    </row>
    <row r="24" spans="1:9">
      <c r="A24" s="212"/>
      <c r="B24" s="215" t="s">
        <v>149</v>
      </c>
      <c r="C24" s="215"/>
      <c r="D24" s="224">
        <v>81.322628390000006</v>
      </c>
      <c r="E24" s="224">
        <v>107.92431544</v>
      </c>
      <c r="F24" s="224">
        <v>71.108273150000002</v>
      </c>
      <c r="G24" s="223">
        <v>67.094050449999983</v>
      </c>
      <c r="H24" s="223">
        <v>123.52274146000001</v>
      </c>
      <c r="I24" s="223">
        <v>130.03057991999998</v>
      </c>
    </row>
    <row r="25" spans="1:9" ht="15.75" customHeight="1">
      <c r="A25" s="212"/>
      <c r="B25" s="212"/>
      <c r="C25" s="216" t="s">
        <v>7</v>
      </c>
      <c r="D25" s="225">
        <v>8.1555</v>
      </c>
      <c r="E25" s="225">
        <v>6.082497</v>
      </c>
      <c r="F25" s="225">
        <v>0</v>
      </c>
      <c r="G25" s="226">
        <v>9.4750000000000001E-2</v>
      </c>
      <c r="H25" s="226">
        <v>4.5432252100000001</v>
      </c>
      <c r="I25" s="226">
        <v>1.1608887299999999</v>
      </c>
    </row>
    <row r="26" spans="1:9" ht="18.75" customHeight="1">
      <c r="A26" s="212"/>
      <c r="B26" s="212"/>
      <c r="C26" s="216" t="s">
        <v>9</v>
      </c>
      <c r="D26" s="225">
        <v>38.236674389999997</v>
      </c>
      <c r="E26" s="225">
        <v>92.477190440000001</v>
      </c>
      <c r="F26" s="225">
        <v>67.112190150000004</v>
      </c>
      <c r="G26" s="226">
        <v>51.333533729999999</v>
      </c>
      <c r="H26" s="226">
        <v>75.395194260000025</v>
      </c>
      <c r="I26" s="226">
        <v>101.19929720999998</v>
      </c>
    </row>
    <row r="27" spans="1:9" ht="15.75" customHeight="1">
      <c r="A27" s="212"/>
      <c r="B27" s="212"/>
      <c r="C27" s="216" t="s">
        <v>10</v>
      </c>
      <c r="D27" s="225">
        <v>0</v>
      </c>
      <c r="E27" s="225">
        <v>0</v>
      </c>
      <c r="F27" s="225">
        <v>0</v>
      </c>
      <c r="G27" s="226">
        <v>0.13316544</v>
      </c>
      <c r="H27" s="226">
        <v>0.15289884000000001</v>
      </c>
      <c r="I27" s="226">
        <v>6.9887429999999987E-2</v>
      </c>
    </row>
    <row r="28" spans="1:9" ht="15" customHeight="1">
      <c r="A28" s="212"/>
      <c r="B28" s="212"/>
      <c r="C28" s="216" t="s">
        <v>11</v>
      </c>
      <c r="D28" s="225">
        <v>34.930453999999997</v>
      </c>
      <c r="E28" s="225">
        <v>9.3646279999999997</v>
      </c>
      <c r="F28" s="225">
        <v>3.9960830000000001</v>
      </c>
      <c r="G28" s="226">
        <v>15.532601279999998</v>
      </c>
      <c r="H28" s="226">
        <v>43.431423150000001</v>
      </c>
      <c r="I28" s="226">
        <v>27.600506550000002</v>
      </c>
    </row>
    <row r="29" spans="1:9">
      <c r="A29" s="212"/>
      <c r="B29" s="215" t="s">
        <v>150</v>
      </c>
      <c r="C29" s="217"/>
      <c r="D29" s="224">
        <v>307.79895579000004</v>
      </c>
      <c r="E29" s="224">
        <v>339.89615872000002</v>
      </c>
      <c r="F29" s="224">
        <v>192.76683258287304</v>
      </c>
      <c r="G29" s="223">
        <v>167.13077265999999</v>
      </c>
      <c r="H29" s="223">
        <v>204.33471671000001</v>
      </c>
      <c r="I29" s="223">
        <v>175.23909372</v>
      </c>
    </row>
    <row r="30" spans="1:9" ht="13.5" customHeight="1">
      <c r="A30" s="212"/>
      <c r="B30" s="212"/>
      <c r="C30" s="216" t="s">
        <v>12</v>
      </c>
      <c r="D30" s="225">
        <v>0</v>
      </c>
      <c r="E30" s="225">
        <v>0</v>
      </c>
      <c r="F30" s="225">
        <v>0</v>
      </c>
      <c r="G30" s="226">
        <v>0</v>
      </c>
      <c r="H30" s="226">
        <v>6.0631999999999998E-2</v>
      </c>
      <c r="I30" s="226">
        <v>4.3999999999999997E-2</v>
      </c>
    </row>
    <row r="31" spans="1:9" ht="17.25" customHeight="1">
      <c r="A31" s="212"/>
      <c r="B31" s="212"/>
      <c r="C31" s="216" t="s">
        <v>13</v>
      </c>
      <c r="D31" s="225">
        <v>264.50952999999998</v>
      </c>
      <c r="E31" s="225">
        <v>202.19082700000001</v>
      </c>
      <c r="F31" s="225">
        <v>68.692732000000007</v>
      </c>
      <c r="G31" s="226">
        <v>56.503693980000008</v>
      </c>
      <c r="H31" s="226">
        <v>71.819197299999999</v>
      </c>
      <c r="I31" s="226">
        <v>24.82907032</v>
      </c>
    </row>
    <row r="32" spans="1:9" ht="17.25" customHeight="1">
      <c r="A32" s="218"/>
      <c r="B32" s="218"/>
      <c r="C32" s="219" t="s">
        <v>14</v>
      </c>
      <c r="D32" s="227">
        <v>43.289425789999996</v>
      </c>
      <c r="E32" s="227">
        <v>137.70533172</v>
      </c>
      <c r="F32" s="227">
        <v>124.07410058287304</v>
      </c>
      <c r="G32" s="228">
        <v>110.62707868</v>
      </c>
      <c r="H32" s="228">
        <v>132.45488741</v>
      </c>
      <c r="I32" s="228">
        <v>150.36602340000002</v>
      </c>
    </row>
    <row r="33" spans="1:9">
      <c r="A33" s="229" t="s">
        <v>155</v>
      </c>
      <c r="B33" s="212"/>
      <c r="C33" s="212"/>
      <c r="D33" s="230"/>
      <c r="E33" s="230"/>
      <c r="F33" s="230"/>
      <c r="G33" s="230"/>
      <c r="H33" s="230"/>
      <c r="I33" s="230"/>
    </row>
    <row r="34" spans="1:9">
      <c r="A34" s="270" t="s">
        <v>214</v>
      </c>
      <c r="F34" s="212"/>
      <c r="G34" s="212"/>
      <c r="H34" s="212"/>
      <c r="I34" s="212"/>
    </row>
    <row r="36" spans="1:9">
      <c r="A36" s="210" t="s">
        <v>158</v>
      </c>
    </row>
    <row r="37" spans="1:9">
      <c r="A37" s="41"/>
    </row>
  </sheetData>
  <mergeCells count="5">
    <mergeCell ref="A2:I2"/>
    <mergeCell ref="A4:I4"/>
    <mergeCell ref="A5:I5"/>
    <mergeCell ref="A6:I6"/>
    <mergeCell ref="A7:I7"/>
  </mergeCells>
  <hyperlinks>
    <hyperlink ref="A1:H1" location="Indice!A1" display="Cuadro 7. Cuenta de gastos y transacciones ambientales: gasto ambiental ejecutado por la administración central del Gobierno de Guatemala"/>
  </hyperlinks>
  <pageMargins left="0.7" right="0.7" top="0.75" bottom="0.75" header="0.3" footer="0.3"/>
  <pageSetup scale="88" orientation="portrait" r:id="rId1"/>
</worksheet>
</file>

<file path=xl/worksheets/sheet11.xml><?xml version="1.0" encoding="utf-8"?>
<worksheet xmlns="http://schemas.openxmlformats.org/spreadsheetml/2006/main" xmlns:r="http://schemas.openxmlformats.org/officeDocument/2006/relationships">
  <sheetPr>
    <tabColor theme="3" tint="0.39997558519241921"/>
    <pageSetUpPr fitToPage="1"/>
  </sheetPr>
  <dimension ref="A1:K41"/>
  <sheetViews>
    <sheetView showGridLines="0" topLeftCell="A3" workbookViewId="0">
      <selection activeCell="A3" sqref="A3"/>
    </sheetView>
  </sheetViews>
  <sheetFormatPr baseColWidth="10" defaultRowHeight="12.75"/>
  <cols>
    <col min="1" max="1" width="1.1640625" customWidth="1"/>
    <col min="2" max="2" width="1.5" customWidth="1"/>
    <col min="3" max="3" width="1.1640625" customWidth="1"/>
    <col min="4" max="4" width="2.5" customWidth="1"/>
    <col min="5" max="5" width="67.6640625" customWidth="1"/>
    <col min="6" max="6" width="10.33203125" customWidth="1"/>
    <col min="7" max="7" width="9.1640625" customWidth="1"/>
    <col min="8" max="8" width="8.6640625" customWidth="1"/>
    <col min="9" max="9" width="9.83203125" customWidth="1"/>
    <col min="10" max="10" width="9.6640625" customWidth="1"/>
    <col min="11" max="11" width="8.6640625" customWidth="1"/>
  </cols>
  <sheetData>
    <row r="1" spans="1:11" s="210" customFormat="1" ht="12.75" hidden="1" customHeight="1">
      <c r="A1" s="52" t="s">
        <v>229</v>
      </c>
      <c r="B1" s="52"/>
      <c r="C1" s="52"/>
      <c r="D1" s="52"/>
      <c r="E1" s="52"/>
      <c r="F1" s="52"/>
      <c r="G1" s="52"/>
      <c r="H1" s="52"/>
      <c r="I1" s="231"/>
    </row>
    <row r="2" spans="1:11" s="210" customFormat="1" hidden="1"/>
    <row r="3" spans="1:11" s="210" customFormat="1" ht="12.75" customHeight="1">
      <c r="A3" s="232"/>
      <c r="B3" s="540" t="s">
        <v>163</v>
      </c>
      <c r="C3" s="540"/>
      <c r="D3" s="540"/>
      <c r="E3" s="540"/>
      <c r="F3" s="540"/>
      <c r="G3" s="540"/>
      <c r="H3" s="540"/>
      <c r="I3" s="540"/>
      <c r="J3" s="540"/>
      <c r="K3" s="540"/>
    </row>
    <row r="4" spans="1:11" s="210" customFormat="1" ht="14.25" customHeight="1">
      <c r="A4" s="540" t="s">
        <v>222</v>
      </c>
      <c r="B4" s="540"/>
      <c r="C4" s="540"/>
      <c r="D4" s="540"/>
      <c r="E4" s="540"/>
      <c r="F4" s="540"/>
      <c r="G4" s="540"/>
      <c r="H4" s="540"/>
      <c r="I4" s="540"/>
      <c r="J4" s="540"/>
      <c r="K4" s="540"/>
    </row>
    <row r="5" spans="1:11" s="210" customFormat="1">
      <c r="A5" s="540"/>
      <c r="B5" s="540"/>
      <c r="C5" s="540"/>
      <c r="D5" s="540"/>
      <c r="E5" s="540"/>
      <c r="F5" s="540"/>
      <c r="G5" s="540"/>
      <c r="H5" s="540"/>
      <c r="I5" s="540"/>
      <c r="J5" s="540"/>
      <c r="K5" s="540"/>
    </row>
    <row r="6" spans="1:11" s="210" customFormat="1" ht="12.75" customHeight="1">
      <c r="A6" s="541" t="s">
        <v>156</v>
      </c>
      <c r="B6" s="541"/>
      <c r="C6" s="541"/>
      <c r="D6" s="541"/>
      <c r="E6" s="541"/>
      <c r="F6" s="541"/>
      <c r="G6" s="541"/>
      <c r="H6" s="541"/>
      <c r="I6" s="541"/>
      <c r="J6" s="541"/>
      <c r="K6" s="541"/>
    </row>
    <row r="7" spans="1:11" s="210" customFormat="1">
      <c r="A7" s="537" t="s">
        <v>225</v>
      </c>
      <c r="B7" s="537"/>
      <c r="C7" s="537"/>
      <c r="D7" s="537"/>
      <c r="E7" s="537"/>
      <c r="F7" s="537"/>
      <c r="G7" s="537"/>
      <c r="H7" s="537"/>
      <c r="I7" s="537"/>
      <c r="J7" s="537"/>
      <c r="K7" s="537"/>
    </row>
    <row r="8" spans="1:11" s="210" customFormat="1">
      <c r="A8" s="658" t="s">
        <v>28</v>
      </c>
      <c r="B8" s="658"/>
      <c r="C8" s="658"/>
      <c r="D8" s="658"/>
      <c r="E8" s="658"/>
      <c r="F8" s="658"/>
      <c r="G8" s="658"/>
      <c r="H8" s="658"/>
      <c r="I8" s="658"/>
      <c r="J8" s="658"/>
      <c r="K8" s="658"/>
    </row>
    <row r="9" spans="1:11" s="210" customFormat="1"/>
    <row r="10" spans="1:11" s="210" customFormat="1">
      <c r="A10" s="600" t="s">
        <v>157</v>
      </c>
      <c r="B10" s="600"/>
      <c r="C10" s="600"/>
      <c r="D10" s="600"/>
      <c r="E10" s="600"/>
      <c r="F10" s="615">
        <v>2001</v>
      </c>
      <c r="G10" s="615">
        <v>2002</v>
      </c>
      <c r="H10" s="615">
        <v>2003</v>
      </c>
      <c r="I10" s="615">
        <v>2004</v>
      </c>
      <c r="J10" s="615">
        <v>2005</v>
      </c>
      <c r="K10" s="615">
        <v>2006</v>
      </c>
    </row>
    <row r="11" spans="1:11" s="210" customFormat="1">
      <c r="A11" s="602"/>
      <c r="B11" s="602"/>
      <c r="C11" s="602"/>
      <c r="D11" s="602"/>
      <c r="E11" s="602"/>
      <c r="F11" s="647"/>
      <c r="G11" s="616"/>
      <c r="H11" s="651"/>
      <c r="I11" s="651"/>
      <c r="J11" s="651"/>
      <c r="K11" s="651"/>
    </row>
    <row r="12" spans="1:11" s="210" customFormat="1">
      <c r="A12" s="22" t="s">
        <v>565</v>
      </c>
      <c r="B12" s="31"/>
      <c r="C12" s="31"/>
      <c r="D12" s="31"/>
      <c r="E12" s="31"/>
      <c r="F12" s="39">
        <v>615.91461188999995</v>
      </c>
      <c r="G12" s="39">
        <v>673.76986334000003</v>
      </c>
      <c r="H12" s="39">
        <v>474.85796904627398</v>
      </c>
      <c r="I12" s="39">
        <v>410.72085783</v>
      </c>
      <c r="J12" s="39">
        <v>535.08697991888096</v>
      </c>
      <c r="K12" s="39">
        <v>499.01088372000004</v>
      </c>
    </row>
    <row r="13" spans="1:11" s="210" customFormat="1">
      <c r="B13" s="32" t="s">
        <v>566</v>
      </c>
      <c r="C13" s="20"/>
      <c r="D13" s="20"/>
      <c r="E13" s="20"/>
      <c r="F13" s="34">
        <v>223.94302771</v>
      </c>
      <c r="G13" s="34">
        <v>225.94938918</v>
      </c>
      <c r="H13" s="34">
        <v>203.14286331340102</v>
      </c>
      <c r="I13" s="34">
        <v>174.63159929</v>
      </c>
      <c r="J13" s="34">
        <v>154.52777441888099</v>
      </c>
      <c r="K13" s="34">
        <v>165.93090671000002</v>
      </c>
    </row>
    <row r="14" spans="1:11" s="210" customFormat="1">
      <c r="C14" s="32" t="s">
        <v>149</v>
      </c>
      <c r="D14" s="233"/>
      <c r="E14" s="233"/>
      <c r="F14" s="33">
        <v>178.01831046000001</v>
      </c>
      <c r="G14" s="33">
        <v>169.36289418000001</v>
      </c>
      <c r="H14" s="33">
        <v>122.403394003451</v>
      </c>
      <c r="I14" s="33">
        <v>118.12688844</v>
      </c>
      <c r="J14" s="33">
        <v>117.247078238881</v>
      </c>
      <c r="K14" s="33">
        <v>121.68219581999999</v>
      </c>
    </row>
    <row r="15" spans="1:11" s="210" customFormat="1">
      <c r="D15" s="36" t="s">
        <v>160</v>
      </c>
      <c r="E15" s="20"/>
      <c r="F15" s="234"/>
      <c r="G15" s="234">
        <v>5.2776969999999999</v>
      </c>
      <c r="H15" s="234"/>
      <c r="I15" s="234"/>
      <c r="J15" s="234"/>
      <c r="K15" s="234"/>
    </row>
    <row r="16" spans="1:11" s="210" customFormat="1">
      <c r="B16" s="36"/>
      <c r="C16" s="20"/>
      <c r="D16" s="36" t="s">
        <v>161</v>
      </c>
      <c r="E16" s="20"/>
      <c r="F16" s="234">
        <v>1.03725</v>
      </c>
      <c r="G16" s="234">
        <v>2.272926</v>
      </c>
      <c r="H16" s="234">
        <v>1.2387589999999999</v>
      </c>
      <c r="I16" s="234">
        <v>3.5703699999999998E-2</v>
      </c>
      <c r="J16" s="234">
        <v>0.21708537</v>
      </c>
      <c r="K16" s="234">
        <v>0.69438738</v>
      </c>
    </row>
    <row r="17" spans="2:11" s="210" customFormat="1">
      <c r="B17" s="36"/>
      <c r="C17" s="20"/>
      <c r="D17" s="36" t="s">
        <v>8</v>
      </c>
      <c r="E17" s="20"/>
      <c r="F17" s="234"/>
      <c r="G17" s="234">
        <v>2.0274999999999999</v>
      </c>
      <c r="H17" s="234"/>
      <c r="I17" s="234"/>
      <c r="J17" s="234"/>
      <c r="K17" s="234"/>
    </row>
    <row r="18" spans="2:11" s="210" customFormat="1">
      <c r="B18" s="36"/>
      <c r="C18" s="20"/>
      <c r="D18" s="36" t="s">
        <v>9</v>
      </c>
      <c r="E18" s="20"/>
      <c r="F18" s="234">
        <v>113.78542546</v>
      </c>
      <c r="G18" s="234">
        <v>94.708229180000004</v>
      </c>
      <c r="H18" s="234">
        <v>70.732248003450607</v>
      </c>
      <c r="I18" s="234">
        <v>73.462996410000002</v>
      </c>
      <c r="J18" s="234">
        <v>64.706202570000002</v>
      </c>
      <c r="K18" s="234">
        <v>69.893411909999998</v>
      </c>
    </row>
    <row r="19" spans="2:11" s="210" customFormat="1">
      <c r="B19" s="36"/>
      <c r="C19" s="20"/>
      <c r="D19" s="36" t="s">
        <v>10</v>
      </c>
      <c r="E19" s="20"/>
      <c r="F19" s="234">
        <v>8.5537790000000005</v>
      </c>
      <c r="G19" s="234">
        <v>8.7058959999999992</v>
      </c>
      <c r="H19" s="234">
        <v>8.8657590000000006</v>
      </c>
      <c r="I19" s="234">
        <v>6.8189362899999999</v>
      </c>
      <c r="J19" s="234">
        <v>7.2295737799999999</v>
      </c>
      <c r="K19" s="234">
        <v>10.180163650000001</v>
      </c>
    </row>
    <row r="20" spans="2:11" s="210" customFormat="1">
      <c r="B20" s="36"/>
      <c r="C20" s="20"/>
      <c r="D20" s="36" t="s">
        <v>11</v>
      </c>
      <c r="E20" s="20"/>
      <c r="F20" s="234">
        <v>54.641855999999997</v>
      </c>
      <c r="G20" s="234">
        <v>56.370646000000001</v>
      </c>
      <c r="H20" s="234">
        <v>41.566628000000001</v>
      </c>
      <c r="I20" s="234">
        <v>37.809252039999997</v>
      </c>
      <c r="J20" s="234">
        <v>45.0942165188806</v>
      </c>
      <c r="K20" s="234">
        <v>40.91423288</v>
      </c>
    </row>
    <row r="21" spans="2:11" s="210" customFormat="1">
      <c r="C21" s="35" t="s">
        <v>162</v>
      </c>
      <c r="D21" s="235"/>
      <c r="E21" s="233"/>
      <c r="F21" s="33">
        <v>45.92471725</v>
      </c>
      <c r="G21" s="33">
        <v>56.586494999999999</v>
      </c>
      <c r="H21" s="33">
        <v>80.739469309950394</v>
      </c>
      <c r="I21" s="33">
        <v>56.504710850000002</v>
      </c>
      <c r="J21" s="33">
        <v>37.28069618</v>
      </c>
      <c r="K21" s="33">
        <v>44.248710889999998</v>
      </c>
    </row>
    <row r="22" spans="2:11" s="210" customFormat="1">
      <c r="D22" s="36" t="s">
        <v>12</v>
      </c>
      <c r="E22" s="20"/>
      <c r="F22" s="234">
        <v>17.015391000000001</v>
      </c>
      <c r="G22" s="234">
        <v>16.766389</v>
      </c>
      <c r="H22" s="234">
        <v>13.155619</v>
      </c>
      <c r="I22" s="234">
        <v>3.4079901100000001</v>
      </c>
      <c r="J22" s="234">
        <v>2.8811290000000001</v>
      </c>
      <c r="K22" s="234">
        <v>1.7411146200000001</v>
      </c>
    </row>
    <row r="23" spans="2:11" s="210" customFormat="1">
      <c r="D23" s="36" t="s">
        <v>13</v>
      </c>
      <c r="E23" s="20"/>
      <c r="F23" s="234">
        <v>8.2819500000000001</v>
      </c>
      <c r="G23" s="234">
        <v>7.0296750000000001</v>
      </c>
      <c r="H23" s="234">
        <v>38.824652999999998</v>
      </c>
      <c r="I23" s="234">
        <v>7.0464640699999999</v>
      </c>
      <c r="J23" s="234">
        <v>8.7100504399999998</v>
      </c>
      <c r="K23" s="234">
        <v>9.3770307300000013</v>
      </c>
    </row>
    <row r="24" spans="2:11" s="210" customFormat="1">
      <c r="D24" s="36" t="s">
        <v>14</v>
      </c>
      <c r="E24" s="20"/>
      <c r="F24" s="234">
        <v>13.60535425</v>
      </c>
      <c r="G24" s="234">
        <v>32.790430999999998</v>
      </c>
      <c r="H24" s="234">
        <v>22.759197309950402</v>
      </c>
      <c r="I24" s="234">
        <v>43.236419670000004</v>
      </c>
      <c r="J24" s="234">
        <v>23.042485719999998</v>
      </c>
      <c r="K24" s="234">
        <v>29.099553</v>
      </c>
    </row>
    <row r="25" spans="2:11" s="210" customFormat="1">
      <c r="D25" s="36" t="s">
        <v>15</v>
      </c>
      <c r="E25" s="20"/>
      <c r="F25" s="234">
        <v>7.0220219999999998</v>
      </c>
      <c r="G25" s="234"/>
      <c r="H25" s="234">
        <v>6</v>
      </c>
      <c r="I25" s="234">
        <v>2.8138369999999999</v>
      </c>
      <c r="J25" s="234">
        <v>2.64703102</v>
      </c>
      <c r="K25" s="234">
        <v>4.0310125399999999</v>
      </c>
    </row>
    <row r="26" spans="2:11" s="210" customFormat="1">
      <c r="B26" s="32" t="s">
        <v>567</v>
      </c>
      <c r="C26" s="20"/>
      <c r="D26" s="20"/>
      <c r="E26" s="20"/>
      <c r="F26" s="34">
        <v>391.97158417999998</v>
      </c>
      <c r="G26" s="34">
        <v>447.82047416</v>
      </c>
      <c r="H26" s="34">
        <v>271.71510573287304</v>
      </c>
      <c r="I26" s="34">
        <v>236.08925854</v>
      </c>
      <c r="J26" s="34">
        <v>380.55920550000002</v>
      </c>
      <c r="K26" s="34">
        <v>333.07997700999999</v>
      </c>
    </row>
    <row r="27" spans="2:11" s="210" customFormat="1">
      <c r="C27" s="32" t="s">
        <v>149</v>
      </c>
      <c r="D27" s="233"/>
      <c r="E27" s="233"/>
      <c r="F27" s="33">
        <v>84.17262839</v>
      </c>
      <c r="G27" s="33">
        <v>107.92431544</v>
      </c>
      <c r="H27" s="33">
        <v>78.948273150000006</v>
      </c>
      <c r="I27" s="33">
        <v>68.958485879999998</v>
      </c>
      <c r="J27" s="33">
        <v>135.22448878999998</v>
      </c>
      <c r="K27" s="33">
        <v>135.43382147</v>
      </c>
    </row>
    <row r="28" spans="2:11" s="210" customFormat="1">
      <c r="D28" s="815" t="s">
        <v>164</v>
      </c>
      <c r="E28" s="20"/>
      <c r="F28" s="234">
        <v>2.85</v>
      </c>
      <c r="G28" s="234"/>
      <c r="H28" s="234"/>
      <c r="I28" s="234">
        <v>1.8644354299999999</v>
      </c>
      <c r="J28" s="234">
        <v>11.70174733</v>
      </c>
      <c r="K28" s="234">
        <v>5.4032415499999997</v>
      </c>
    </row>
    <row r="29" spans="2:11" s="210" customFormat="1">
      <c r="D29" s="815" t="s">
        <v>161</v>
      </c>
      <c r="E29" s="20"/>
      <c r="F29" s="234">
        <v>8.1555</v>
      </c>
      <c r="G29" s="234">
        <v>6.082497</v>
      </c>
      <c r="H29" s="234">
        <v>7.84</v>
      </c>
      <c r="I29" s="234">
        <v>9.4750000000000001E-2</v>
      </c>
      <c r="J29" s="234">
        <v>4.5432252100000001</v>
      </c>
      <c r="K29" s="234">
        <v>1.1608887299999999</v>
      </c>
    </row>
    <row r="30" spans="2:11" s="210" customFormat="1">
      <c r="D30" s="36" t="s">
        <v>9</v>
      </c>
      <c r="E30" s="20"/>
      <c r="F30" s="234">
        <v>38.236674389999997</v>
      </c>
      <c r="G30" s="234">
        <v>92.477190440000001</v>
      </c>
      <c r="H30" s="234">
        <v>67.112190150000004</v>
      </c>
      <c r="I30" s="234">
        <v>51.333533729999999</v>
      </c>
      <c r="J30" s="234">
        <v>75.395194260000011</v>
      </c>
      <c r="K30" s="234">
        <v>101.19929721</v>
      </c>
    </row>
    <row r="31" spans="2:11" s="210" customFormat="1">
      <c r="D31" s="36" t="s">
        <v>10</v>
      </c>
      <c r="E31" s="20"/>
      <c r="F31" s="234"/>
      <c r="G31" s="234"/>
      <c r="H31" s="234"/>
      <c r="I31" s="234">
        <v>0.13316544</v>
      </c>
      <c r="J31" s="234">
        <v>0.15289884000000001</v>
      </c>
      <c r="K31" s="234">
        <v>6.9887429999999987E-2</v>
      </c>
    </row>
    <row r="32" spans="2:11" s="210" customFormat="1">
      <c r="D32" s="36" t="s">
        <v>11</v>
      </c>
      <c r="E32" s="20"/>
      <c r="F32" s="234">
        <v>34.930453999999997</v>
      </c>
      <c r="G32" s="234">
        <v>9.3646279999999997</v>
      </c>
      <c r="H32" s="234">
        <v>3.9960830000000001</v>
      </c>
      <c r="I32" s="234">
        <v>15.53260128</v>
      </c>
      <c r="J32" s="234">
        <v>43.431423150000001</v>
      </c>
      <c r="K32" s="234">
        <v>27.600506550000002</v>
      </c>
    </row>
    <row r="33" spans="1:11" s="210" customFormat="1">
      <c r="C33" s="35" t="s">
        <v>162</v>
      </c>
      <c r="D33" s="233"/>
      <c r="E33" s="233"/>
      <c r="F33" s="34">
        <v>307.79895579000004</v>
      </c>
      <c r="G33" s="34">
        <v>339.89615872000002</v>
      </c>
      <c r="H33" s="34">
        <v>192.76683258287298</v>
      </c>
      <c r="I33" s="34">
        <v>167.13077265999999</v>
      </c>
      <c r="J33" s="34">
        <v>245.33471671000001</v>
      </c>
      <c r="K33" s="34">
        <v>197.64615554</v>
      </c>
    </row>
    <row r="34" spans="1:11" s="210" customFormat="1">
      <c r="D34" s="36" t="s">
        <v>12</v>
      </c>
      <c r="E34" s="20"/>
      <c r="F34" s="236"/>
      <c r="G34" s="236">
        <v>0</v>
      </c>
      <c r="H34" s="236">
        <v>0</v>
      </c>
      <c r="I34" s="236"/>
      <c r="J34" s="234">
        <v>6.0631999999999998E-2</v>
      </c>
      <c r="K34" s="234">
        <v>4.3999999999999997E-2</v>
      </c>
    </row>
    <row r="35" spans="1:11" s="210" customFormat="1">
      <c r="D35" s="36" t="s">
        <v>13</v>
      </c>
      <c r="E35" s="20"/>
      <c r="F35" s="234">
        <v>264.50952999999998</v>
      </c>
      <c r="G35" s="234">
        <v>202.19082700000001</v>
      </c>
      <c r="H35" s="234">
        <v>68.692732000000007</v>
      </c>
      <c r="I35" s="234">
        <v>56.503693979999994</v>
      </c>
      <c r="J35" s="234">
        <v>112.8191973</v>
      </c>
      <c r="K35" s="234">
        <v>47.236132140000002</v>
      </c>
    </row>
    <row r="36" spans="1:11" s="210" customFormat="1">
      <c r="D36" s="37" t="s">
        <v>14</v>
      </c>
      <c r="E36" s="38"/>
      <c r="F36" s="237">
        <v>43.289425789999996</v>
      </c>
      <c r="G36" s="237">
        <v>137.70533172</v>
      </c>
      <c r="H36" s="237">
        <v>124.074100582873</v>
      </c>
      <c r="I36" s="237">
        <v>110.62707868000001</v>
      </c>
      <c r="J36" s="237">
        <v>132.45488741</v>
      </c>
      <c r="K36" s="237">
        <v>150.36602340000002</v>
      </c>
    </row>
    <row r="37" spans="1:11" s="210" customFormat="1">
      <c r="A37" s="529" t="s">
        <v>228</v>
      </c>
    </row>
    <row r="38" spans="1:11" s="210" customFormat="1">
      <c r="A38" s="270" t="s">
        <v>214</v>
      </c>
      <c r="B38" s="20"/>
      <c r="C38" s="20"/>
      <c r="D38" s="20"/>
      <c r="E38" s="20"/>
    </row>
    <row r="39" spans="1:11" s="210" customFormat="1"/>
    <row r="40" spans="1:11">
      <c r="A40" s="210" t="s">
        <v>158</v>
      </c>
    </row>
    <row r="41" spans="1:11">
      <c r="A41" s="540"/>
      <c r="B41" s="540"/>
      <c r="C41" s="540"/>
      <c r="D41" s="540"/>
      <c r="E41" s="540"/>
      <c r="F41" s="540"/>
      <c r="G41" s="540"/>
      <c r="H41" s="540"/>
      <c r="I41" s="540"/>
    </row>
  </sheetData>
  <mergeCells count="13">
    <mergeCell ref="A41:I41"/>
    <mergeCell ref="A8:K8"/>
    <mergeCell ref="A4:K5"/>
    <mergeCell ref="B3:K3"/>
    <mergeCell ref="A7:K7"/>
    <mergeCell ref="A6:K6"/>
    <mergeCell ref="A10:E11"/>
    <mergeCell ref="F10:F11"/>
    <mergeCell ref="G10:G11"/>
    <mergeCell ref="H10:H11"/>
    <mergeCell ref="I10:I11"/>
    <mergeCell ref="J10:J11"/>
    <mergeCell ref="K10:K11"/>
  </mergeCells>
  <hyperlinks>
    <hyperlink ref="A1:I1" location="Indice!A1" display="Cuadro 8. Cuenta de gastos y transacciones ambientales: gasto ambiental ejecutado por la administración central del Gobierno de Guatemala"/>
  </hyperlinks>
  <pageMargins left="0.7" right="0.7" top="0.75" bottom="0.75" header="0.3" footer="0.3"/>
  <pageSetup scale="85" orientation="portrait" r:id="rId1"/>
</worksheet>
</file>

<file path=xl/worksheets/sheet12.xml><?xml version="1.0" encoding="utf-8"?>
<worksheet xmlns="http://schemas.openxmlformats.org/spreadsheetml/2006/main" xmlns:r="http://schemas.openxmlformats.org/officeDocument/2006/relationships">
  <sheetPr>
    <tabColor theme="3" tint="0.39997558519241921"/>
    <pageSetUpPr fitToPage="1"/>
  </sheetPr>
  <dimension ref="A1:J39"/>
  <sheetViews>
    <sheetView showGridLines="0" topLeftCell="A3" workbookViewId="0">
      <selection activeCell="A3" sqref="A3:I3"/>
    </sheetView>
  </sheetViews>
  <sheetFormatPr baseColWidth="10" defaultRowHeight="12.75"/>
  <cols>
    <col min="1" max="1" width="0.83203125" customWidth="1"/>
    <col min="2" max="2" width="2.5" customWidth="1"/>
    <col min="3" max="3" width="63" customWidth="1"/>
    <col min="4" max="4" width="13.1640625" customWidth="1"/>
    <col min="5" max="5" width="13.33203125" customWidth="1"/>
    <col min="6" max="6" width="13.6640625" customWidth="1"/>
    <col min="7" max="7" width="13.1640625" customWidth="1"/>
    <col min="8" max="8" width="12.83203125" customWidth="1"/>
    <col min="9" max="9" width="13.5" customWidth="1"/>
  </cols>
  <sheetData>
    <row r="1" spans="1:10" hidden="1">
      <c r="A1" s="341"/>
      <c r="B1" s="52" t="s">
        <v>298</v>
      </c>
      <c r="C1" s="341"/>
      <c r="D1" s="341"/>
      <c r="E1" s="341"/>
      <c r="F1" s="341"/>
      <c r="G1" s="341"/>
      <c r="H1" s="341"/>
      <c r="I1" s="341"/>
    </row>
    <row r="2" spans="1:10" hidden="1">
      <c r="A2" s="341"/>
      <c r="B2" s="341"/>
      <c r="C2" s="341"/>
      <c r="D2" s="341"/>
      <c r="E2" s="341"/>
      <c r="F2" s="341"/>
      <c r="G2" s="341"/>
      <c r="H2" s="341"/>
      <c r="I2" s="341"/>
    </row>
    <row r="3" spans="1:10">
      <c r="A3" s="537" t="s">
        <v>165</v>
      </c>
      <c r="B3" s="537"/>
      <c r="C3" s="537"/>
      <c r="D3" s="537"/>
      <c r="E3" s="537"/>
      <c r="F3" s="537"/>
      <c r="G3" s="537"/>
      <c r="H3" s="537"/>
      <c r="I3" s="537"/>
    </row>
    <row r="4" spans="1:10" ht="23.25" customHeight="1">
      <c r="A4" s="540" t="s">
        <v>270</v>
      </c>
      <c r="B4" s="540"/>
      <c r="C4" s="540"/>
      <c r="D4" s="540"/>
      <c r="E4" s="540"/>
      <c r="F4" s="540"/>
      <c r="G4" s="540"/>
      <c r="H4" s="540"/>
      <c r="I4" s="540"/>
      <c r="J4" s="529" t="s">
        <v>656</v>
      </c>
    </row>
    <row r="5" spans="1:10">
      <c r="A5" s="537" t="s">
        <v>154</v>
      </c>
      <c r="B5" s="537"/>
      <c r="C5" s="537"/>
      <c r="D5" s="537"/>
      <c r="E5" s="537"/>
      <c r="F5" s="537"/>
      <c r="G5" s="537"/>
      <c r="H5" s="537"/>
      <c r="I5" s="537"/>
    </row>
    <row r="6" spans="1:10">
      <c r="A6" s="542" t="s">
        <v>227</v>
      </c>
      <c r="B6" s="538"/>
      <c r="C6" s="538"/>
      <c r="D6" s="538"/>
      <c r="E6" s="538"/>
      <c r="F6" s="538"/>
      <c r="G6" s="538"/>
      <c r="H6" s="538"/>
      <c r="I6" s="538"/>
    </row>
    <row r="7" spans="1:10">
      <c r="A7" s="539" t="s">
        <v>29</v>
      </c>
      <c r="B7" s="539"/>
      <c r="C7" s="539"/>
      <c r="D7" s="539"/>
      <c r="E7" s="539"/>
      <c r="F7" s="539"/>
      <c r="G7" s="539"/>
      <c r="H7" s="539"/>
      <c r="I7" s="539"/>
    </row>
    <row r="8" spans="1:10">
      <c r="B8" s="283"/>
      <c r="C8" s="283"/>
      <c r="D8" s="283"/>
      <c r="E8" s="283"/>
      <c r="F8" s="283"/>
      <c r="G8" s="283"/>
      <c r="H8" s="283"/>
      <c r="I8" s="283"/>
    </row>
    <row r="9" spans="1:10" ht="13.5" customHeight="1">
      <c r="A9" s="652" t="s">
        <v>268</v>
      </c>
      <c r="B9" s="653"/>
      <c r="C9" s="653"/>
      <c r="D9" s="655" t="s">
        <v>34</v>
      </c>
      <c r="E9" s="655"/>
      <c r="F9" s="655"/>
      <c r="G9" s="655"/>
      <c r="H9" s="655"/>
      <c r="I9" s="655"/>
    </row>
    <row r="10" spans="1:10" ht="16.5" customHeight="1">
      <c r="A10" s="654"/>
      <c r="B10" s="654"/>
      <c r="C10" s="654"/>
      <c r="D10" s="656">
        <v>2001</v>
      </c>
      <c r="E10" s="656">
        <v>2002</v>
      </c>
      <c r="F10" s="656">
        <v>2003</v>
      </c>
      <c r="G10" s="656">
        <v>2004</v>
      </c>
      <c r="H10" s="656">
        <v>2005</v>
      </c>
      <c r="I10" s="656">
        <v>2006</v>
      </c>
    </row>
    <row r="11" spans="1:10">
      <c r="A11" s="386" t="s">
        <v>562</v>
      </c>
      <c r="B11" s="212"/>
      <c r="C11" s="213"/>
      <c r="D11" s="387">
        <f>+D24+D12</f>
        <v>613064611.88999999</v>
      </c>
      <c r="E11" s="387">
        <f>+E24+E12</f>
        <v>668492166.34000003</v>
      </c>
      <c r="F11" s="387">
        <f>+F24+F12</f>
        <v>467017969.04627407</v>
      </c>
      <c r="G11" s="387">
        <f>+G24+G12</f>
        <v>408856422.39999998</v>
      </c>
      <c r="H11" s="388">
        <v>482385232.5888806</v>
      </c>
      <c r="I11" s="388">
        <v>471200580.35000008</v>
      </c>
    </row>
    <row r="12" spans="1:10" ht="13.5" customHeight="1">
      <c r="A12" s="215" t="s">
        <v>563</v>
      </c>
      <c r="B12" s="212"/>
      <c r="C12" s="213"/>
      <c r="D12" s="389">
        <f>+D13+D19</f>
        <v>223943027.70999998</v>
      </c>
      <c r="E12" s="389">
        <f>+E13+E19</f>
        <v>220671692.18000001</v>
      </c>
      <c r="F12" s="389">
        <f>+F13+F19</f>
        <v>203142863.31340104</v>
      </c>
      <c r="G12" s="388">
        <v>174631599.28999999</v>
      </c>
      <c r="H12" s="388">
        <v>154527774.41888061</v>
      </c>
      <c r="I12" s="388">
        <v>165930906.71000001</v>
      </c>
    </row>
    <row r="13" spans="1:10" ht="15" customHeight="1">
      <c r="A13" s="380"/>
      <c r="B13" s="215" t="s">
        <v>149</v>
      </c>
      <c r="C13" s="215"/>
      <c r="D13" s="390">
        <v>178018310.45999998</v>
      </c>
      <c r="E13" s="390">
        <v>164085197.18000001</v>
      </c>
      <c r="F13" s="390">
        <v>122403394.0034506</v>
      </c>
      <c r="G13" s="391">
        <v>118126888.44000001</v>
      </c>
      <c r="H13" s="391">
        <v>117247078.2388806</v>
      </c>
      <c r="I13" s="391">
        <v>121682195.82000002</v>
      </c>
    </row>
    <row r="14" spans="1:10" ht="13.5" customHeight="1">
      <c r="A14" s="380"/>
      <c r="B14" s="212"/>
      <c r="C14" s="288" t="s">
        <v>161</v>
      </c>
      <c r="D14" s="392">
        <v>1037250</v>
      </c>
      <c r="E14" s="392">
        <v>2272926</v>
      </c>
      <c r="F14" s="392">
        <v>1238759</v>
      </c>
      <c r="G14" s="393">
        <v>35703.699999999997</v>
      </c>
      <c r="H14" s="393">
        <v>217085.37</v>
      </c>
      <c r="I14" s="393">
        <v>694387.38</v>
      </c>
    </row>
    <row r="15" spans="1:10" ht="13.5" customHeight="1">
      <c r="A15" s="380"/>
      <c r="B15" s="212"/>
      <c r="C15" s="288" t="s">
        <v>8</v>
      </c>
      <c r="D15" s="858" t="s">
        <v>654</v>
      </c>
      <c r="E15" s="392">
        <v>2027500</v>
      </c>
      <c r="F15" s="858" t="s">
        <v>654</v>
      </c>
      <c r="G15" s="858" t="s">
        <v>654</v>
      </c>
      <c r="H15" s="858" t="s">
        <v>654</v>
      </c>
      <c r="I15" s="858" t="s">
        <v>654</v>
      </c>
    </row>
    <row r="16" spans="1:10" ht="15" customHeight="1">
      <c r="A16" s="380"/>
      <c r="B16" s="212"/>
      <c r="C16" s="288" t="s">
        <v>9</v>
      </c>
      <c r="D16" s="392">
        <v>113785425.45999999</v>
      </c>
      <c r="E16" s="392">
        <v>94708229.180000007</v>
      </c>
      <c r="F16" s="392">
        <v>70732248.003450602</v>
      </c>
      <c r="G16" s="393">
        <v>73462996.410000011</v>
      </c>
      <c r="H16" s="393">
        <v>64706202.57</v>
      </c>
      <c r="I16" s="393">
        <v>69893411.910000011</v>
      </c>
    </row>
    <row r="17" spans="1:9" ht="14.25" customHeight="1">
      <c r="A17" s="380"/>
      <c r="B17" s="212"/>
      <c r="C17" s="288" t="s">
        <v>10</v>
      </c>
      <c r="D17" s="392">
        <v>8553779</v>
      </c>
      <c r="E17" s="392">
        <v>8705896</v>
      </c>
      <c r="F17" s="392">
        <v>8865759</v>
      </c>
      <c r="G17" s="393">
        <v>6818936.2899999991</v>
      </c>
      <c r="H17" s="393">
        <v>7229573.7800000003</v>
      </c>
      <c r="I17" s="393">
        <v>10180163.65</v>
      </c>
    </row>
    <row r="18" spans="1:9" ht="14.25" customHeight="1">
      <c r="A18" s="380"/>
      <c r="B18" s="212"/>
      <c r="C18" s="288" t="s">
        <v>11</v>
      </c>
      <c r="D18" s="392">
        <v>54641856</v>
      </c>
      <c r="E18" s="392">
        <v>56370646</v>
      </c>
      <c r="F18" s="392">
        <v>41566628</v>
      </c>
      <c r="G18" s="393">
        <v>37809252.040000007</v>
      </c>
      <c r="H18" s="393">
        <v>45094216.518880606</v>
      </c>
      <c r="I18" s="393">
        <v>40914232.88000001</v>
      </c>
    </row>
    <row r="19" spans="1:9" ht="15.75" customHeight="1">
      <c r="A19" s="380"/>
      <c r="B19" s="287" t="s">
        <v>150</v>
      </c>
      <c r="C19" s="287"/>
      <c r="D19" s="390">
        <v>45924717.25</v>
      </c>
      <c r="E19" s="390">
        <v>56586495</v>
      </c>
      <c r="F19" s="390">
        <v>80739469.309950426</v>
      </c>
      <c r="G19" s="391">
        <v>56504710.849999994</v>
      </c>
      <c r="H19" s="391">
        <v>37280696.18</v>
      </c>
      <c r="I19" s="391">
        <v>44248710.890000001</v>
      </c>
    </row>
    <row r="20" spans="1:9" ht="15" customHeight="1">
      <c r="A20" s="380"/>
      <c r="B20" s="285"/>
      <c r="C20" s="288" t="s">
        <v>12</v>
      </c>
      <c r="D20" s="392">
        <v>17015391</v>
      </c>
      <c r="E20" s="392">
        <v>16766389</v>
      </c>
      <c r="F20" s="392">
        <v>13155619</v>
      </c>
      <c r="G20" s="393">
        <v>3407990.1100000003</v>
      </c>
      <c r="H20" s="393">
        <v>2881129</v>
      </c>
      <c r="I20" s="393">
        <v>1741114.62</v>
      </c>
    </row>
    <row r="21" spans="1:9" ht="14.25" customHeight="1">
      <c r="A21" s="380"/>
      <c r="B21" s="285"/>
      <c r="C21" s="288" t="s">
        <v>13</v>
      </c>
      <c r="D21" s="392">
        <v>8281950</v>
      </c>
      <c r="E21" s="392">
        <v>7029675</v>
      </c>
      <c r="F21" s="392">
        <v>38824653</v>
      </c>
      <c r="G21" s="393">
        <v>7046464.0699999994</v>
      </c>
      <c r="H21" s="393">
        <v>8710050.4399999995</v>
      </c>
      <c r="I21" s="393">
        <v>9377030.7300000004</v>
      </c>
    </row>
    <row r="22" spans="1:9" ht="17.25" customHeight="1">
      <c r="A22" s="380"/>
      <c r="B22" s="285"/>
      <c r="C22" s="288" t="s">
        <v>14</v>
      </c>
      <c r="D22" s="392">
        <v>13605354.249999998</v>
      </c>
      <c r="E22" s="392">
        <v>32790431</v>
      </c>
      <c r="F22" s="392">
        <v>22759197.309950426</v>
      </c>
      <c r="G22" s="393">
        <v>43236419.669999994</v>
      </c>
      <c r="H22" s="393">
        <v>23042485.719999999</v>
      </c>
      <c r="I22" s="393">
        <v>29099553</v>
      </c>
    </row>
    <row r="23" spans="1:9" ht="13.5">
      <c r="A23" s="380"/>
      <c r="B23" s="285"/>
      <c r="C23" s="288" t="s">
        <v>15</v>
      </c>
      <c r="D23" s="392">
        <v>7022022</v>
      </c>
      <c r="E23" s="858" t="s">
        <v>654</v>
      </c>
      <c r="F23" s="392">
        <v>6000000</v>
      </c>
      <c r="G23" s="393">
        <v>2813837</v>
      </c>
      <c r="H23" s="393">
        <v>2647031.02</v>
      </c>
      <c r="I23" s="393">
        <v>4031012.54</v>
      </c>
    </row>
    <row r="24" spans="1:9" ht="15" customHeight="1">
      <c r="A24" s="215" t="s">
        <v>564</v>
      </c>
      <c r="B24" s="212"/>
      <c r="C24" s="213"/>
      <c r="D24" s="389">
        <f>+D25+D30</f>
        <v>389121584.18000001</v>
      </c>
      <c r="E24" s="389">
        <f>+E25+E30</f>
        <v>447820474.16000003</v>
      </c>
      <c r="F24" s="389">
        <f>+F25+F30</f>
        <v>263875105.73287305</v>
      </c>
      <c r="G24" s="388">
        <v>234224823.11000001</v>
      </c>
      <c r="H24" s="388">
        <v>327857458.17000002</v>
      </c>
      <c r="I24" s="388">
        <v>305269673.63999999</v>
      </c>
    </row>
    <row r="25" spans="1:9" ht="15" customHeight="1">
      <c r="A25" s="380"/>
      <c r="B25" s="287" t="s">
        <v>149</v>
      </c>
      <c r="C25" s="287"/>
      <c r="D25" s="390">
        <v>81322628.390000001</v>
      </c>
      <c r="E25" s="390">
        <v>107924315.44</v>
      </c>
      <c r="F25" s="390">
        <v>71108273.150000006</v>
      </c>
      <c r="G25" s="391">
        <v>67094050.449999988</v>
      </c>
      <c r="H25" s="391">
        <v>123522741.46000001</v>
      </c>
      <c r="I25" s="391">
        <v>130030579.91999999</v>
      </c>
    </row>
    <row r="26" spans="1:9" ht="17.25" customHeight="1">
      <c r="A26" s="380"/>
      <c r="B26" s="285"/>
      <c r="C26" s="288" t="s">
        <v>161</v>
      </c>
      <c r="D26" s="392">
        <v>8155500</v>
      </c>
      <c r="E26" s="392">
        <v>6082497</v>
      </c>
      <c r="F26" s="858" t="s">
        <v>654</v>
      </c>
      <c r="G26" s="393">
        <v>94750</v>
      </c>
      <c r="H26" s="393">
        <v>4543225.21</v>
      </c>
      <c r="I26" s="393">
        <v>1160888.73</v>
      </c>
    </row>
    <row r="27" spans="1:9" ht="15.75" customHeight="1">
      <c r="A27" s="380"/>
      <c r="B27" s="285"/>
      <c r="C27" s="288" t="s">
        <v>9</v>
      </c>
      <c r="D27" s="392">
        <v>38236674.390000001</v>
      </c>
      <c r="E27" s="392">
        <v>92477190.439999998</v>
      </c>
      <c r="F27" s="392">
        <v>67112190.150000006</v>
      </c>
      <c r="G27" s="393">
        <v>51333533.729999997</v>
      </c>
      <c r="H27" s="393">
        <v>75395194.26000002</v>
      </c>
      <c r="I27" s="393">
        <v>101199297.20999998</v>
      </c>
    </row>
    <row r="28" spans="1:9" ht="13.5">
      <c r="A28" s="380"/>
      <c r="B28" s="285"/>
      <c r="C28" s="288" t="s">
        <v>10</v>
      </c>
      <c r="D28" s="858" t="s">
        <v>654</v>
      </c>
      <c r="E28" s="858" t="s">
        <v>654</v>
      </c>
      <c r="F28" s="858" t="s">
        <v>654</v>
      </c>
      <c r="G28" s="393">
        <v>133165.44</v>
      </c>
      <c r="H28" s="393">
        <v>152898.84</v>
      </c>
      <c r="I28" s="393">
        <v>69887.429999999993</v>
      </c>
    </row>
    <row r="29" spans="1:9" ht="13.5" customHeight="1">
      <c r="A29" s="380"/>
      <c r="B29" s="285"/>
      <c r="C29" s="288" t="s">
        <v>11</v>
      </c>
      <c r="D29" s="392">
        <v>34930454</v>
      </c>
      <c r="E29" s="392">
        <v>9364628</v>
      </c>
      <c r="F29" s="392">
        <v>3996083</v>
      </c>
      <c r="G29" s="393">
        <v>15532601.279999997</v>
      </c>
      <c r="H29" s="393">
        <v>43431423.149999999</v>
      </c>
      <c r="I29" s="393">
        <v>27600506.550000001</v>
      </c>
    </row>
    <row r="30" spans="1:9" ht="13.5" customHeight="1">
      <c r="A30" s="380"/>
      <c r="B30" s="287" t="s">
        <v>150</v>
      </c>
      <c r="C30" s="289"/>
      <c r="D30" s="390">
        <v>307798955.79000002</v>
      </c>
      <c r="E30" s="390">
        <v>339896158.72000003</v>
      </c>
      <c r="F30" s="390">
        <v>192766832.58287305</v>
      </c>
      <c r="G30" s="391">
        <v>167130772.66</v>
      </c>
      <c r="H30" s="391">
        <v>204334716.71000001</v>
      </c>
      <c r="I30" s="391">
        <v>175239093.72</v>
      </c>
    </row>
    <row r="31" spans="1:9" ht="13.5" customHeight="1">
      <c r="A31" s="380"/>
      <c r="B31" s="285"/>
      <c r="C31" s="288" t="s">
        <v>12</v>
      </c>
      <c r="D31" s="858" t="s">
        <v>654</v>
      </c>
      <c r="E31" s="858" t="s">
        <v>654</v>
      </c>
      <c r="F31" s="858" t="s">
        <v>654</v>
      </c>
      <c r="G31" s="858" t="s">
        <v>654</v>
      </c>
      <c r="H31" s="393">
        <v>60632</v>
      </c>
      <c r="I31" s="393">
        <v>44000</v>
      </c>
    </row>
    <row r="32" spans="1:9" ht="13.5">
      <c r="A32" s="380"/>
      <c r="B32" s="285"/>
      <c r="C32" s="288" t="s">
        <v>13</v>
      </c>
      <c r="D32" s="392">
        <v>264509530</v>
      </c>
      <c r="E32" s="392">
        <v>202190827</v>
      </c>
      <c r="F32" s="392">
        <v>68692732</v>
      </c>
      <c r="G32" s="393">
        <v>56503693.980000012</v>
      </c>
      <c r="H32" s="393">
        <v>71819197.299999997</v>
      </c>
      <c r="I32" s="393">
        <v>24829070.32</v>
      </c>
    </row>
    <row r="33" spans="1:9" ht="13.5">
      <c r="A33" s="379"/>
      <c r="B33" s="384"/>
      <c r="C33" s="385" t="s">
        <v>14</v>
      </c>
      <c r="D33" s="394">
        <v>43289425.789999999</v>
      </c>
      <c r="E33" s="394">
        <v>137705331.72</v>
      </c>
      <c r="F33" s="394">
        <v>124074100.58287305</v>
      </c>
      <c r="G33" s="395">
        <v>110627078.67999999</v>
      </c>
      <c r="H33" s="395">
        <v>132454887.41000001</v>
      </c>
      <c r="I33" s="395">
        <v>150366023.40000001</v>
      </c>
    </row>
    <row r="34" spans="1:9" ht="13.5">
      <c r="A34" s="382" t="s">
        <v>155</v>
      </c>
      <c r="B34" s="380"/>
      <c r="C34" s="380"/>
      <c r="D34" s="381"/>
      <c r="E34" s="381"/>
      <c r="F34" s="381"/>
      <c r="G34" s="381"/>
      <c r="H34" s="381"/>
      <c r="I34" s="381"/>
    </row>
    <row r="35" spans="1:9" ht="13.5">
      <c r="B35" s="383"/>
      <c r="C35" s="383"/>
      <c r="D35" s="383"/>
      <c r="E35" s="383"/>
      <c r="F35" s="380"/>
      <c r="G35" s="380"/>
      <c r="H35" s="380"/>
      <c r="I35" s="380"/>
    </row>
    <row r="36" spans="1:9">
      <c r="A36" s="341"/>
      <c r="B36" s="341"/>
      <c r="C36" s="341"/>
      <c r="D36" s="341"/>
      <c r="E36" s="341"/>
      <c r="F36" s="341"/>
      <c r="G36" s="341"/>
      <c r="H36" s="341"/>
      <c r="I36" s="341"/>
    </row>
    <row r="37" spans="1:9">
      <c r="A37" s="40" t="s">
        <v>269</v>
      </c>
      <c r="B37" s="40"/>
      <c r="C37" s="40"/>
      <c r="D37" s="523">
        <v>11503653</v>
      </c>
      <c r="E37" s="523">
        <v>11791136</v>
      </c>
      <c r="F37" s="523">
        <v>12087014</v>
      </c>
      <c r="G37" s="523">
        <v>12390451</v>
      </c>
      <c r="H37" s="249">
        <v>12700611</v>
      </c>
      <c r="I37" s="249">
        <v>13018759</v>
      </c>
    </row>
    <row r="38" spans="1:9">
      <c r="C38" s="341"/>
      <c r="D38" s="341"/>
      <c r="E38" s="341"/>
      <c r="F38" s="341"/>
      <c r="G38" s="341"/>
      <c r="H38" s="341"/>
      <c r="I38" s="341"/>
    </row>
    <row r="39" spans="1:9" ht="13.5">
      <c r="A39" s="383" t="s">
        <v>552</v>
      </c>
    </row>
  </sheetData>
  <mergeCells count="7">
    <mergeCell ref="A3:I3"/>
    <mergeCell ref="A4:I4"/>
    <mergeCell ref="A5:I5"/>
    <mergeCell ref="A6:I6"/>
    <mergeCell ref="D9:I9"/>
    <mergeCell ref="A7:I7"/>
    <mergeCell ref="A9:C10"/>
  </mergeCells>
  <hyperlinks>
    <hyperlink ref="B1" location="Indice!A1" display="Cuadro 8. Cuenta de gastos y transacciones ambientales: gasto ambiental ejecutado por la administración central del Gobierno de Guatemala"/>
  </hyperlinks>
  <pageMargins left="0.7" right="0.7" top="0.75" bottom="0.75" header="0.3" footer="0.3"/>
  <pageSetup orientation="landscape" r:id="rId1"/>
</worksheet>
</file>

<file path=xl/worksheets/sheet13.xml><?xml version="1.0" encoding="utf-8"?>
<worksheet xmlns="http://schemas.openxmlformats.org/spreadsheetml/2006/main" xmlns:r="http://schemas.openxmlformats.org/officeDocument/2006/relationships">
  <sheetPr>
    <tabColor theme="3" tint="0.39997558519241921"/>
    <pageSetUpPr fitToPage="1"/>
  </sheetPr>
  <dimension ref="A1:J72"/>
  <sheetViews>
    <sheetView showGridLines="0" topLeftCell="A3" workbookViewId="0">
      <selection activeCell="A3" sqref="A3:I3"/>
    </sheetView>
  </sheetViews>
  <sheetFormatPr baseColWidth="10" defaultRowHeight="12.75"/>
  <cols>
    <col min="1" max="2" width="1.83203125" style="210" customWidth="1"/>
    <col min="3" max="3" width="53.6640625" style="210" customWidth="1"/>
    <col min="4" max="9" width="10.33203125" style="210" customWidth="1"/>
    <col min="10" max="16384" width="12" style="210"/>
  </cols>
  <sheetData>
    <row r="1" spans="1:10" hidden="1">
      <c r="A1" s="396" t="s">
        <v>299</v>
      </c>
      <c r="B1" s="51"/>
      <c r="C1" s="51"/>
      <c r="D1" s="51"/>
      <c r="E1" s="51"/>
      <c r="F1" s="51"/>
      <c r="G1" s="51"/>
      <c r="H1" s="51"/>
      <c r="I1" s="51"/>
      <c r="J1" s="209"/>
    </row>
    <row r="2" spans="1:10" hidden="1"/>
    <row r="3" spans="1:10">
      <c r="A3" s="537" t="s">
        <v>173</v>
      </c>
      <c r="B3" s="537"/>
      <c r="C3" s="537"/>
      <c r="D3" s="537"/>
      <c r="E3" s="537"/>
      <c r="F3" s="537"/>
      <c r="G3" s="537"/>
      <c r="H3" s="537"/>
      <c r="I3" s="537"/>
    </row>
    <row r="4" spans="1:10" ht="24" customHeight="1">
      <c r="A4" s="540" t="s">
        <v>493</v>
      </c>
      <c r="B4" s="540"/>
      <c r="C4" s="540"/>
      <c r="D4" s="540"/>
      <c r="E4" s="540"/>
      <c r="F4" s="540"/>
      <c r="G4" s="540"/>
      <c r="H4" s="540"/>
      <c r="I4" s="540"/>
      <c r="J4" s="41"/>
    </row>
    <row r="5" spans="1:10" ht="13.5" customHeight="1">
      <c r="A5" s="537" t="s">
        <v>156</v>
      </c>
      <c r="B5" s="537"/>
      <c r="C5" s="537"/>
      <c r="D5" s="537"/>
      <c r="E5" s="537"/>
      <c r="F5" s="537"/>
      <c r="G5" s="537"/>
      <c r="H5" s="537"/>
      <c r="I5" s="537"/>
    </row>
    <row r="6" spans="1:10">
      <c r="A6" s="538" t="s">
        <v>226</v>
      </c>
      <c r="B6" s="538"/>
      <c r="C6" s="538"/>
      <c r="D6" s="538"/>
      <c r="E6" s="538"/>
      <c r="F6" s="538"/>
      <c r="G6" s="538"/>
      <c r="H6" s="538"/>
      <c r="I6" s="538"/>
    </row>
    <row r="7" spans="1:10">
      <c r="A7" s="658" t="s">
        <v>29</v>
      </c>
      <c r="B7" s="658"/>
      <c r="C7" s="658"/>
      <c r="D7" s="658"/>
      <c r="E7" s="658"/>
      <c r="F7" s="658"/>
      <c r="G7" s="658"/>
      <c r="H7" s="658"/>
      <c r="I7" s="658"/>
    </row>
    <row r="8" spans="1:10">
      <c r="A8" s="282"/>
      <c r="B8" s="282"/>
      <c r="C8" s="282"/>
      <c r="D8" s="282"/>
      <c r="E8" s="282"/>
      <c r="F8" s="282"/>
      <c r="G8" s="282"/>
      <c r="H8" s="282"/>
      <c r="I8" s="282"/>
    </row>
    <row r="9" spans="1:10">
      <c r="A9" s="657"/>
      <c r="B9" s="657"/>
      <c r="C9" s="657" t="s">
        <v>153</v>
      </c>
      <c r="D9" s="642">
        <v>2001</v>
      </c>
      <c r="E9" s="642">
        <v>2002</v>
      </c>
      <c r="F9" s="642">
        <v>2003</v>
      </c>
      <c r="G9" s="642">
        <v>2004</v>
      </c>
      <c r="H9" s="642">
        <v>2005</v>
      </c>
      <c r="I9" s="642">
        <v>2006</v>
      </c>
    </row>
    <row r="10" spans="1:10">
      <c r="A10" s="211" t="s">
        <v>562</v>
      </c>
      <c r="B10" s="212"/>
      <c r="C10" s="213"/>
      <c r="D10" s="214">
        <v>53.293037602055627</v>
      </c>
      <c r="E10" s="214">
        <v>56.694466617974726</v>
      </c>
      <c r="F10" s="214">
        <v>38.637993556247565</v>
      </c>
      <c r="G10" s="214">
        <v>32.997703021463863</v>
      </c>
      <c r="H10" s="214">
        <v>37.981261892745209</v>
      </c>
      <c r="I10" s="214">
        <v>36.193970588901763</v>
      </c>
    </row>
    <row r="11" spans="1:10">
      <c r="A11" s="215" t="s">
        <v>563</v>
      </c>
      <c r="B11" s="212"/>
      <c r="C11" s="213"/>
      <c r="D11" s="214">
        <v>19.467122983455774</v>
      </c>
      <c r="E11" s="214">
        <v>18.715049354023225</v>
      </c>
      <c r="F11" s="214">
        <v>16.806703732898882</v>
      </c>
      <c r="G11" s="214">
        <v>14.094047043969585</v>
      </c>
      <c r="H11" s="214">
        <v>12.166955937700997</v>
      </c>
      <c r="I11" s="214">
        <v>12.745524109479252</v>
      </c>
    </row>
    <row r="12" spans="1:10">
      <c r="A12" s="212"/>
      <c r="B12" s="215" t="s">
        <v>211</v>
      </c>
      <c r="C12" s="215"/>
      <c r="D12" s="214">
        <v>15.474937435960557</v>
      </c>
      <c r="E12" s="214">
        <v>13.915978679238371</v>
      </c>
      <c r="F12" s="214">
        <v>10.126851346697423</v>
      </c>
      <c r="G12" s="214">
        <v>9.5337036916573918</v>
      </c>
      <c r="H12" s="214">
        <v>9.2316092697336067</v>
      </c>
      <c r="I12" s="214">
        <v>9.3466816476132646</v>
      </c>
    </row>
    <row r="13" spans="1:10" ht="14.25" customHeight="1">
      <c r="A13" s="212"/>
      <c r="B13" s="212"/>
      <c r="C13" s="216" t="s">
        <v>161</v>
      </c>
      <c r="D13" s="214">
        <v>9.0167010427035649E-2</v>
      </c>
      <c r="E13" s="214">
        <v>0.19276565040043639</v>
      </c>
      <c r="F13" s="214">
        <v>0.10248676803054915</v>
      </c>
      <c r="G13" s="214">
        <v>2.8815496707908371E-3</v>
      </c>
      <c r="H13" s="214">
        <v>1.7092513895591323E-2</v>
      </c>
      <c r="I13" s="214">
        <v>5.3337447908821417E-2</v>
      </c>
    </row>
    <row r="14" spans="1:10" ht="24" customHeight="1">
      <c r="A14" s="212"/>
      <c r="B14" s="212"/>
      <c r="C14" s="216" t="s">
        <v>8</v>
      </c>
      <c r="D14" s="214">
        <v>0</v>
      </c>
      <c r="E14" s="214">
        <v>0.17195120130918684</v>
      </c>
      <c r="F14" s="214">
        <v>0</v>
      </c>
      <c r="G14" s="214">
        <v>0</v>
      </c>
      <c r="H14" s="214">
        <v>0</v>
      </c>
      <c r="I14" s="214">
        <v>0</v>
      </c>
    </row>
    <row r="15" spans="1:10" ht="17.25" customHeight="1">
      <c r="A15" s="212"/>
      <c r="B15" s="212"/>
      <c r="C15" s="216" t="s">
        <v>9</v>
      </c>
      <c r="D15" s="214">
        <v>9.8912428478153842</v>
      </c>
      <c r="E15" s="214">
        <v>8.032154762696317</v>
      </c>
      <c r="F15" s="214">
        <v>5.8519207476263864</v>
      </c>
      <c r="G15" s="214">
        <v>5.9290010032726022</v>
      </c>
      <c r="H15" s="214">
        <v>5.0947314715803831</v>
      </c>
      <c r="I15" s="214">
        <v>5.3686693109535257</v>
      </c>
    </row>
    <row r="16" spans="1:10" ht="15.75" customHeight="1">
      <c r="A16" s="212"/>
      <c r="B16" s="212"/>
      <c r="C16" s="216" t="s">
        <v>10</v>
      </c>
      <c r="D16" s="214">
        <v>0.74357067272456845</v>
      </c>
      <c r="E16" s="214">
        <v>0.73834242943173589</v>
      </c>
      <c r="F16" s="214">
        <v>0.73349455870573166</v>
      </c>
      <c r="G16" s="214">
        <v>0.55033802159420986</v>
      </c>
      <c r="H16" s="214">
        <v>0.56923039214412596</v>
      </c>
      <c r="I16" s="214">
        <v>0.78196114161111674</v>
      </c>
    </row>
    <row r="17" spans="1:9" ht="16.5" customHeight="1">
      <c r="A17" s="212"/>
      <c r="B17" s="212"/>
      <c r="C17" s="216" t="s">
        <v>11</v>
      </c>
      <c r="D17" s="214">
        <v>4.7499569049935699</v>
      </c>
      <c r="E17" s="214">
        <v>4.7807646354006943</v>
      </c>
      <c r="F17" s="214">
        <v>3.4389492723347552</v>
      </c>
      <c r="G17" s="214">
        <v>3.0514831171197891</v>
      </c>
      <c r="H17" s="214">
        <v>3.5505548921135057</v>
      </c>
      <c r="I17" s="214">
        <v>3.1427137471398012</v>
      </c>
    </row>
    <row r="18" spans="1:9">
      <c r="A18" s="212"/>
      <c r="B18" s="215" t="s">
        <v>212</v>
      </c>
      <c r="C18" s="215"/>
      <c r="D18" s="214">
        <v>3.9921855474952173</v>
      </c>
      <c r="E18" s="214">
        <v>4.7990706747848551</v>
      </c>
      <c r="F18" s="214">
        <v>6.6798523862014578</v>
      </c>
      <c r="G18" s="214">
        <v>4.560343352312195</v>
      </c>
      <c r="H18" s="214">
        <v>2.9353466679673916</v>
      </c>
      <c r="I18" s="214">
        <v>3.3988424618659892</v>
      </c>
    </row>
    <row r="19" spans="1:9" ht="18" customHeight="1">
      <c r="A19" s="212"/>
      <c r="B19" s="212"/>
      <c r="C19" s="216" t="s">
        <v>12</v>
      </c>
      <c r="D19" s="214">
        <v>1.4791293687318281</v>
      </c>
      <c r="E19" s="214">
        <v>1.4219485722156033</v>
      </c>
      <c r="F19" s="214">
        <v>1.0884093457656292</v>
      </c>
      <c r="G19" s="214">
        <v>0.27504972256457816</v>
      </c>
      <c r="H19" s="214">
        <v>0.22684963739146094</v>
      </c>
      <c r="I19" s="214">
        <v>0.13373890860104254</v>
      </c>
    </row>
    <row r="20" spans="1:9" ht="16.5" customHeight="1">
      <c r="A20" s="212"/>
      <c r="B20" s="212"/>
      <c r="C20" s="216" t="s">
        <v>13</v>
      </c>
      <c r="D20" s="214">
        <v>0.7199408744335386</v>
      </c>
      <c r="E20" s="214">
        <v>0.59618301408787078</v>
      </c>
      <c r="F20" s="214">
        <v>3.2120963043477899</v>
      </c>
      <c r="G20" s="214">
        <v>0.56870117722107127</v>
      </c>
      <c r="H20" s="214">
        <v>0.68579774941536276</v>
      </c>
      <c r="I20" s="214">
        <v>0.72027070552577255</v>
      </c>
    </row>
    <row r="21" spans="1:9" ht="17.25" customHeight="1">
      <c r="A21" s="212"/>
      <c r="B21" s="212"/>
      <c r="C21" s="216" t="s">
        <v>14</v>
      </c>
      <c r="D21" s="214">
        <v>1.1826985958286467</v>
      </c>
      <c r="E21" s="214">
        <v>2.7809390884813814</v>
      </c>
      <c r="F21" s="214">
        <v>1.8829462189710731</v>
      </c>
      <c r="G21" s="214">
        <v>3.4894952306417251</v>
      </c>
      <c r="H21" s="214">
        <v>1.8142816688110517</v>
      </c>
      <c r="I21" s="214">
        <v>2.2352017577097785</v>
      </c>
    </row>
    <row r="22" spans="1:9" ht="18" customHeight="1">
      <c r="A22" s="212"/>
      <c r="B22" s="212"/>
      <c r="C22" s="216" t="s">
        <v>15</v>
      </c>
      <c r="D22" s="214">
        <v>0.61041670850120389</v>
      </c>
      <c r="E22" s="214">
        <v>0</v>
      </c>
      <c r="F22" s="214">
        <v>0.49640051711696537</v>
      </c>
      <c r="G22" s="214">
        <v>0.22709722188482082</v>
      </c>
      <c r="H22" s="214">
        <v>0.20841761234951611</v>
      </c>
      <c r="I22" s="214">
        <v>0.30963109002939526</v>
      </c>
    </row>
    <row r="23" spans="1:9">
      <c r="A23" s="215" t="s">
        <v>564</v>
      </c>
      <c r="B23" s="212"/>
      <c r="C23" s="213"/>
      <c r="D23" s="214">
        <v>33.825914618599846</v>
      </c>
      <c r="E23" s="214">
        <v>37.979417263951497</v>
      </c>
      <c r="F23" s="214">
        <v>21.831289823348683</v>
      </c>
      <c r="G23" s="214">
        <v>18.903655977494282</v>
      </c>
      <c r="H23" s="214">
        <v>25.814305955044212</v>
      </c>
      <c r="I23" s="214">
        <v>23.4484464794225</v>
      </c>
    </row>
    <row r="24" spans="1:9" ht="15" customHeight="1">
      <c r="A24" s="212"/>
      <c r="B24" s="215" t="s">
        <v>149</v>
      </c>
      <c r="C24" s="215"/>
      <c r="D24" s="214">
        <v>7.0692873289901916</v>
      </c>
      <c r="E24" s="214">
        <v>9.1530040396446957</v>
      </c>
      <c r="F24" s="214">
        <v>5.8830305938257377</v>
      </c>
      <c r="G24" s="214">
        <v>5.4149804918319751</v>
      </c>
      <c r="H24" s="214">
        <v>9.7257322076867023</v>
      </c>
      <c r="I24" s="214">
        <v>9.987939704544802</v>
      </c>
    </row>
    <row r="25" spans="1:9" ht="18" customHeight="1">
      <c r="A25" s="212"/>
      <c r="B25" s="212"/>
      <c r="C25" s="216" t="s">
        <v>593</v>
      </c>
      <c r="D25" s="214">
        <v>0.70894871394330128</v>
      </c>
      <c r="E25" s="214">
        <v>0.51585334949914918</v>
      </c>
      <c r="F25" s="214">
        <v>0</v>
      </c>
      <c r="G25" s="214">
        <v>7.6470178526996313E-3</v>
      </c>
      <c r="H25" s="214">
        <v>0.35771705865174519</v>
      </c>
      <c r="I25" s="214">
        <v>8.9170460102994453E-2</v>
      </c>
    </row>
    <row r="26" spans="1:9" ht="19.5" customHeight="1">
      <c r="A26" s="212"/>
      <c r="B26" s="212"/>
      <c r="C26" s="216" t="s">
        <v>9</v>
      </c>
      <c r="D26" s="214">
        <v>3.3238723725411399</v>
      </c>
      <c r="E26" s="214">
        <v>7.8429415486344993</v>
      </c>
      <c r="F26" s="214">
        <v>5.552420982552019</v>
      </c>
      <c r="G26" s="214">
        <v>4.1429915448598278</v>
      </c>
      <c r="H26" s="214">
        <v>5.9363438703854499</v>
      </c>
      <c r="I26" s="214">
        <v>7.7733443878944204</v>
      </c>
    </row>
    <row r="27" spans="1:9" ht="18" customHeight="1">
      <c r="A27" s="212"/>
      <c r="B27" s="212"/>
      <c r="C27" s="216" t="s">
        <v>10</v>
      </c>
      <c r="D27" s="214">
        <v>0</v>
      </c>
      <c r="E27" s="214">
        <v>0</v>
      </c>
      <c r="F27" s="214">
        <v>0</v>
      </c>
      <c r="G27" s="214">
        <v>1.074742477089817E-2</v>
      </c>
      <c r="H27" s="214">
        <v>1.2038699555478078E-2</v>
      </c>
      <c r="I27" s="214">
        <v>5.3682098270656977E-3</v>
      </c>
    </row>
    <row r="28" spans="1:9" ht="17.25" customHeight="1">
      <c r="A28" s="212"/>
      <c r="B28" s="212"/>
      <c r="C28" s="216" t="s">
        <v>11</v>
      </c>
      <c r="D28" s="214">
        <v>3.03646624250575</v>
      </c>
      <c r="E28" s="214">
        <v>0.79420914151104693</v>
      </c>
      <c r="F28" s="214">
        <v>0.33060961127371907</v>
      </c>
      <c r="G28" s="214">
        <v>1.2535945043485501</v>
      </c>
      <c r="H28" s="214">
        <v>3.4196325790940292</v>
      </c>
      <c r="I28" s="214">
        <v>2.1200566467203212</v>
      </c>
    </row>
    <row r="29" spans="1:9">
      <c r="A29" s="212"/>
      <c r="B29" s="215" t="s">
        <v>150</v>
      </c>
      <c r="C29" s="217"/>
      <c r="D29" s="214">
        <v>26.756627289609661</v>
      </c>
      <c r="E29" s="214">
        <v>28.826413224306805</v>
      </c>
      <c r="F29" s="214">
        <v>15.948259229522945</v>
      </c>
      <c r="G29" s="214">
        <v>13.488675485662306</v>
      </c>
      <c r="H29" s="214">
        <v>16.088573747357511</v>
      </c>
      <c r="I29" s="214">
        <v>13.460506774877697</v>
      </c>
    </row>
    <row r="30" spans="1:9" ht="17.25" customHeight="1">
      <c r="A30" s="212"/>
      <c r="B30" s="212"/>
      <c r="C30" s="216" t="s">
        <v>12</v>
      </c>
      <c r="D30" s="214">
        <v>0</v>
      </c>
      <c r="E30" s="214">
        <v>0</v>
      </c>
      <c r="F30" s="214">
        <v>0</v>
      </c>
      <c r="G30" s="214">
        <v>0</v>
      </c>
      <c r="H30" s="214">
        <v>4.7739435527944284E-3</v>
      </c>
      <c r="I30" s="214">
        <v>3.3797384220723343E-3</v>
      </c>
    </row>
    <row r="31" spans="1:9" ht="16.5" customHeight="1">
      <c r="A31" s="212"/>
      <c r="B31" s="212"/>
      <c r="C31" s="216" t="s">
        <v>13</v>
      </c>
      <c r="D31" s="214">
        <v>22.993524752528611</v>
      </c>
      <c r="E31" s="214">
        <v>17.147696964906519</v>
      </c>
      <c r="F31" s="214">
        <v>5.6831846144961862</v>
      </c>
      <c r="G31" s="214">
        <v>4.5602612834674066</v>
      </c>
      <c r="H31" s="214">
        <v>5.654782852572998</v>
      </c>
      <c r="I31" s="214">
        <v>1.9071764305645416</v>
      </c>
    </row>
    <row r="32" spans="1:9" ht="14.25" customHeight="1">
      <c r="A32" s="218"/>
      <c r="B32" s="218"/>
      <c r="C32" s="219" t="s">
        <v>14</v>
      </c>
      <c r="D32" s="220">
        <v>3.7631025370810471</v>
      </c>
      <c r="E32" s="220">
        <v>11.678716259400282</v>
      </c>
      <c r="F32" s="220">
        <v>10.265074615026759</v>
      </c>
      <c r="G32" s="220">
        <v>8.9284142021948991</v>
      </c>
      <c r="H32" s="220">
        <v>10.429016951231716</v>
      </c>
      <c r="I32" s="220">
        <v>11.549950605891084</v>
      </c>
    </row>
    <row r="33" spans="1:9">
      <c r="A33" s="529" t="s">
        <v>228</v>
      </c>
      <c r="D33" s="221"/>
      <c r="E33" s="221"/>
      <c r="F33" s="221"/>
      <c r="G33" s="221"/>
      <c r="H33" s="221"/>
      <c r="I33" s="221"/>
    </row>
    <row r="34" spans="1:9">
      <c r="A34" s="270" t="s">
        <v>214</v>
      </c>
    </row>
    <row r="36" spans="1:9">
      <c r="A36" s="210" t="s">
        <v>170</v>
      </c>
      <c r="B36" s="53"/>
      <c r="C36" s="53"/>
      <c r="D36" s="53"/>
      <c r="E36" s="53"/>
      <c r="F36" s="53"/>
      <c r="G36" s="53"/>
      <c r="H36" s="53"/>
      <c r="I36" s="53"/>
    </row>
    <row r="41" spans="1:9">
      <c r="A41" s="537"/>
      <c r="B41" s="537"/>
      <c r="C41" s="537"/>
      <c r="D41" s="537"/>
      <c r="E41" s="537"/>
      <c r="F41" s="537"/>
      <c r="G41" s="537"/>
      <c r="H41" s="537"/>
      <c r="I41" s="537"/>
    </row>
    <row r="42" spans="1:9">
      <c r="A42" s="537"/>
      <c r="B42" s="537"/>
      <c r="C42" s="537"/>
      <c r="D42" s="537"/>
      <c r="E42" s="537"/>
      <c r="F42" s="537"/>
      <c r="G42" s="537"/>
      <c r="H42" s="537"/>
      <c r="I42" s="537"/>
    </row>
    <row r="43" spans="1:9" ht="13.5">
      <c r="A43" s="212"/>
      <c r="B43" s="217"/>
      <c r="C43" s="217"/>
      <c r="D43" s="278"/>
      <c r="E43" s="275"/>
      <c r="F43" s="281"/>
      <c r="G43" s="281"/>
      <c r="H43" s="281"/>
      <c r="I43" s="281"/>
    </row>
    <row r="44" spans="1:9" ht="13.5">
      <c r="A44" s="212"/>
      <c r="B44" s="217"/>
      <c r="C44" s="217"/>
      <c r="D44" s="281"/>
      <c r="E44" s="282"/>
      <c r="F44" s="283"/>
      <c r="G44" s="283"/>
      <c r="H44" s="283"/>
      <c r="I44" s="283"/>
    </row>
    <row r="45" spans="1:9">
      <c r="A45" s="283"/>
      <c r="B45" s="283"/>
      <c r="C45" s="283"/>
      <c r="D45" s="543"/>
      <c r="E45" s="543"/>
      <c r="F45" s="543"/>
      <c r="G45" s="543"/>
      <c r="H45" s="543"/>
      <c r="I45" s="543"/>
    </row>
    <row r="46" spans="1:9">
      <c r="A46" s="290"/>
      <c r="B46" s="290"/>
      <c r="C46" s="290"/>
      <c r="D46" s="291"/>
      <c r="E46" s="291"/>
      <c r="F46" s="291"/>
      <c r="G46" s="291"/>
      <c r="H46" s="291"/>
      <c r="I46" s="291"/>
    </row>
    <row r="47" spans="1:9" ht="13.5">
      <c r="A47" s="284"/>
      <c r="B47" s="285"/>
      <c r="C47" s="286"/>
      <c r="D47" s="292"/>
      <c r="E47" s="292"/>
      <c r="F47" s="292"/>
      <c r="G47" s="292"/>
      <c r="H47" s="292"/>
      <c r="I47" s="292"/>
    </row>
    <row r="48" spans="1:9" ht="13.5">
      <c r="A48" s="287"/>
      <c r="B48" s="285"/>
      <c r="C48" s="286"/>
      <c r="D48" s="292"/>
      <c r="E48" s="292"/>
      <c r="F48" s="292"/>
      <c r="G48" s="292"/>
      <c r="H48" s="292"/>
      <c r="I48" s="292"/>
    </row>
    <row r="49" spans="1:9" ht="13.5">
      <c r="A49" s="285"/>
      <c r="B49" s="287"/>
      <c r="C49" s="287"/>
      <c r="D49" s="292"/>
      <c r="E49" s="292"/>
      <c r="F49" s="292"/>
      <c r="G49" s="292"/>
      <c r="H49" s="292"/>
      <c r="I49" s="292"/>
    </row>
    <row r="50" spans="1:9" ht="13.5">
      <c r="A50" s="285"/>
      <c r="B50" s="285"/>
      <c r="C50" s="288"/>
      <c r="D50" s="292"/>
      <c r="E50" s="292"/>
      <c r="F50" s="292"/>
      <c r="G50" s="292"/>
      <c r="H50" s="292"/>
      <c r="I50" s="292"/>
    </row>
    <row r="51" spans="1:9" ht="13.5">
      <c r="A51" s="285"/>
      <c r="B51" s="285"/>
      <c r="C51" s="288"/>
      <c r="D51" s="292"/>
      <c r="E51" s="292"/>
      <c r="F51" s="292"/>
      <c r="G51" s="292"/>
      <c r="H51" s="292"/>
      <c r="I51" s="292"/>
    </row>
    <row r="52" spans="1:9" ht="13.5">
      <c r="A52" s="285"/>
      <c r="B52" s="285"/>
      <c r="C52" s="288"/>
      <c r="D52" s="292"/>
      <c r="E52" s="292"/>
      <c r="F52" s="292"/>
      <c r="G52" s="292"/>
      <c r="H52" s="292"/>
      <c r="I52" s="292"/>
    </row>
    <row r="53" spans="1:9" ht="13.5">
      <c r="A53" s="285"/>
      <c r="B53" s="285"/>
      <c r="C53" s="288"/>
      <c r="D53" s="292"/>
      <c r="E53" s="292"/>
      <c r="F53" s="292"/>
      <c r="G53" s="292"/>
      <c r="H53" s="292"/>
      <c r="I53" s="292"/>
    </row>
    <row r="54" spans="1:9" ht="13.5">
      <c r="A54" s="285"/>
      <c r="B54" s="285"/>
      <c r="C54" s="288"/>
      <c r="D54" s="292"/>
      <c r="E54" s="292"/>
      <c r="F54" s="292"/>
      <c r="G54" s="292"/>
      <c r="H54" s="292"/>
      <c r="I54" s="292"/>
    </row>
    <row r="55" spans="1:9" ht="13.5">
      <c r="A55" s="285"/>
      <c r="B55" s="287"/>
      <c r="C55" s="287"/>
      <c r="D55" s="292"/>
      <c r="E55" s="292"/>
      <c r="F55" s="292"/>
      <c r="G55" s="292"/>
      <c r="H55" s="292"/>
      <c r="I55" s="292"/>
    </row>
    <row r="56" spans="1:9" ht="13.5">
      <c r="A56" s="285"/>
      <c r="B56" s="285"/>
      <c r="C56" s="288"/>
      <c r="D56" s="292"/>
      <c r="E56" s="292"/>
      <c r="F56" s="292"/>
      <c r="G56" s="292"/>
      <c r="H56" s="292"/>
      <c r="I56" s="292"/>
    </row>
    <row r="57" spans="1:9" ht="13.5">
      <c r="A57" s="285"/>
      <c r="B57" s="285"/>
      <c r="C57" s="288"/>
      <c r="D57" s="292"/>
      <c r="E57" s="292"/>
      <c r="F57" s="292"/>
      <c r="G57" s="292"/>
      <c r="H57" s="292"/>
      <c r="I57" s="292"/>
    </row>
    <row r="58" spans="1:9" ht="13.5">
      <c r="A58" s="285"/>
      <c r="B58" s="285"/>
      <c r="C58" s="288"/>
      <c r="D58" s="292"/>
      <c r="E58" s="292"/>
      <c r="F58" s="292"/>
      <c r="G58" s="292"/>
      <c r="H58" s="292"/>
      <c r="I58" s="292"/>
    </row>
    <row r="59" spans="1:9" ht="13.5">
      <c r="A59" s="285"/>
      <c r="B59" s="285"/>
      <c r="C59" s="288"/>
      <c r="D59" s="292"/>
      <c r="E59" s="292"/>
      <c r="F59" s="292"/>
      <c r="G59" s="292"/>
      <c r="H59" s="292"/>
      <c r="I59" s="292"/>
    </row>
    <row r="60" spans="1:9" ht="13.5">
      <c r="A60" s="287"/>
      <c r="B60" s="285"/>
      <c r="C60" s="286"/>
      <c r="D60" s="292"/>
      <c r="E60" s="292"/>
      <c r="F60" s="292"/>
      <c r="G60" s="292"/>
      <c r="H60" s="292"/>
      <c r="I60" s="292"/>
    </row>
    <row r="61" spans="1:9" ht="13.5">
      <c r="A61" s="285"/>
      <c r="B61" s="287"/>
      <c r="C61" s="287"/>
      <c r="D61" s="292"/>
      <c r="E61" s="292"/>
      <c r="F61" s="292"/>
      <c r="G61" s="292"/>
      <c r="H61" s="292"/>
      <c r="I61" s="292"/>
    </row>
    <row r="62" spans="1:9" ht="13.5">
      <c r="A62" s="285"/>
      <c r="B62" s="285"/>
      <c r="C62" s="288"/>
      <c r="D62" s="292"/>
      <c r="E62" s="292"/>
      <c r="F62" s="292"/>
      <c r="G62" s="292"/>
      <c r="H62" s="292"/>
      <c r="I62" s="292"/>
    </row>
    <row r="63" spans="1:9" ht="13.5">
      <c r="A63" s="285"/>
      <c r="B63" s="285"/>
      <c r="C63" s="288"/>
      <c r="D63" s="292"/>
      <c r="E63" s="292"/>
      <c r="F63" s="292"/>
      <c r="G63" s="292"/>
      <c r="H63" s="292"/>
      <c r="I63" s="292"/>
    </row>
    <row r="64" spans="1:9" ht="13.5">
      <c r="A64" s="285"/>
      <c r="B64" s="285"/>
      <c r="C64" s="288"/>
      <c r="D64" s="292"/>
      <c r="E64" s="292"/>
      <c r="F64" s="292"/>
      <c r="G64" s="292"/>
      <c r="H64" s="292"/>
      <c r="I64" s="292"/>
    </row>
    <row r="65" spans="1:9" ht="13.5">
      <c r="A65" s="285"/>
      <c r="B65" s="285"/>
      <c r="C65" s="288"/>
      <c r="D65" s="292"/>
      <c r="E65" s="292"/>
      <c r="F65" s="292"/>
      <c r="G65" s="292"/>
      <c r="H65" s="292"/>
      <c r="I65" s="292"/>
    </row>
    <row r="66" spans="1:9" ht="13.5">
      <c r="A66" s="285"/>
      <c r="B66" s="287"/>
      <c r="C66" s="289"/>
      <c r="D66" s="292"/>
      <c r="E66" s="292"/>
      <c r="F66" s="292"/>
      <c r="G66" s="292"/>
      <c r="H66" s="292"/>
      <c r="I66" s="292"/>
    </row>
    <row r="67" spans="1:9" ht="13.5">
      <c r="A67" s="285"/>
      <c r="B67" s="285"/>
      <c r="C67" s="288"/>
      <c r="D67" s="292"/>
      <c r="E67" s="292"/>
      <c r="F67" s="292"/>
      <c r="G67" s="292"/>
      <c r="H67" s="292"/>
      <c r="I67" s="292"/>
    </row>
    <row r="68" spans="1:9" ht="13.5">
      <c r="A68" s="285"/>
      <c r="B68" s="285"/>
      <c r="C68" s="288"/>
      <c r="D68" s="292"/>
      <c r="E68" s="292"/>
      <c r="F68" s="292"/>
      <c r="G68" s="292"/>
      <c r="H68" s="292"/>
      <c r="I68" s="292"/>
    </row>
    <row r="69" spans="1:9" ht="13.5">
      <c r="A69" s="285"/>
      <c r="B69" s="285"/>
      <c r="C69" s="288"/>
      <c r="D69" s="292"/>
      <c r="E69" s="292"/>
      <c r="F69" s="292"/>
      <c r="G69" s="292"/>
      <c r="H69" s="292"/>
      <c r="I69" s="292"/>
    </row>
    <row r="70" spans="1:9" ht="13.5">
      <c r="A70" s="293"/>
      <c r="B70" s="293"/>
      <c r="C70" s="293"/>
      <c r="D70" s="293"/>
      <c r="E70" s="293"/>
      <c r="F70" s="293"/>
      <c r="G70" s="293"/>
      <c r="H70" s="293"/>
      <c r="I70" s="293"/>
    </row>
    <row r="71" spans="1:9" ht="13.5">
      <c r="A71" s="293"/>
      <c r="B71" s="293"/>
      <c r="C71" s="293"/>
      <c r="D71" s="293"/>
      <c r="E71" s="293"/>
      <c r="F71" s="293"/>
      <c r="G71" s="293"/>
      <c r="H71" s="293"/>
      <c r="I71" s="293"/>
    </row>
    <row r="72" spans="1:9" ht="13.5">
      <c r="A72" s="293"/>
      <c r="B72" s="283"/>
      <c r="C72" s="283"/>
      <c r="D72" s="283"/>
      <c r="E72" s="283"/>
      <c r="F72" s="283"/>
      <c r="G72" s="283"/>
      <c r="H72" s="283"/>
      <c r="I72" s="283"/>
    </row>
  </sheetData>
  <mergeCells count="8">
    <mergeCell ref="D45:I45"/>
    <mergeCell ref="A3:I3"/>
    <mergeCell ref="A41:I41"/>
    <mergeCell ref="A42:I42"/>
    <mergeCell ref="A5:I5"/>
    <mergeCell ref="A6:I6"/>
    <mergeCell ref="A7:I7"/>
    <mergeCell ref="A4:I4"/>
  </mergeCells>
  <hyperlinks>
    <hyperlink ref="A1" location="Indice!A1" display="Cuadro 9.Cuenta de gastos y transacciones ambientales: gasto ambiental per cápita con base en gastos de la administración central del Gobierno de Guatemala, quetzales corrientes, sin agua y saneamiento"/>
  </hyperlinks>
  <pageMargins left="0.7" right="0.7" top="0.75" bottom="0.75" header="0.3" footer="0.3"/>
  <pageSetup scale="93" orientation="portrait" r:id="rId1"/>
</worksheet>
</file>

<file path=xl/worksheets/sheet14.xml><?xml version="1.0" encoding="utf-8"?>
<worksheet xmlns="http://schemas.openxmlformats.org/spreadsheetml/2006/main" xmlns:r="http://schemas.openxmlformats.org/officeDocument/2006/relationships">
  <sheetPr>
    <tabColor theme="3" tint="0.39997558519241921"/>
    <pageSetUpPr fitToPage="1"/>
  </sheetPr>
  <dimension ref="A1:J40"/>
  <sheetViews>
    <sheetView showGridLines="0" topLeftCell="A3" workbookViewId="0">
      <selection activeCell="A3" sqref="A3:I3"/>
    </sheetView>
  </sheetViews>
  <sheetFormatPr baseColWidth="10" defaultRowHeight="12.75"/>
  <cols>
    <col min="1" max="2" width="1" customWidth="1"/>
    <col min="3" max="3" width="56.83203125" customWidth="1"/>
    <col min="4" max="9" width="10" customWidth="1"/>
  </cols>
  <sheetData>
    <row r="1" spans="1:10" s="210" customFormat="1" hidden="1">
      <c r="A1" s="396" t="s">
        <v>300</v>
      </c>
      <c r="B1" s="51"/>
      <c r="C1" s="51"/>
      <c r="D1" s="51"/>
      <c r="E1" s="51"/>
      <c r="F1" s="51"/>
      <c r="G1" s="51"/>
      <c r="H1" s="51"/>
      <c r="I1" s="51"/>
      <c r="J1" s="209"/>
    </row>
    <row r="2" spans="1:10" s="210" customFormat="1" hidden="1"/>
    <row r="3" spans="1:10" s="210" customFormat="1">
      <c r="A3" s="537" t="s">
        <v>177</v>
      </c>
      <c r="B3" s="537"/>
      <c r="C3" s="537"/>
      <c r="D3" s="537"/>
      <c r="E3" s="537"/>
      <c r="F3" s="537"/>
      <c r="G3" s="537"/>
      <c r="H3" s="537"/>
      <c r="I3" s="537"/>
    </row>
    <row r="4" spans="1:10" s="210" customFormat="1" ht="23.25" customHeight="1">
      <c r="A4" s="540" t="s">
        <v>230</v>
      </c>
      <c r="B4" s="540"/>
      <c r="C4" s="540"/>
      <c r="D4" s="540"/>
      <c r="E4" s="540"/>
      <c r="F4" s="540"/>
      <c r="G4" s="540"/>
      <c r="H4" s="540"/>
      <c r="I4" s="540"/>
    </row>
    <row r="5" spans="1:10" s="210" customFormat="1">
      <c r="A5" s="537" t="s">
        <v>154</v>
      </c>
      <c r="B5" s="537"/>
      <c r="C5" s="537"/>
      <c r="D5" s="537"/>
      <c r="E5" s="537"/>
      <c r="F5" s="537"/>
      <c r="G5" s="537"/>
      <c r="H5" s="537"/>
      <c r="I5" s="537"/>
    </row>
    <row r="6" spans="1:10" s="210" customFormat="1">
      <c r="A6" s="538" t="s">
        <v>227</v>
      </c>
      <c r="B6" s="538"/>
      <c r="C6" s="538"/>
      <c r="D6" s="538"/>
      <c r="E6" s="538"/>
      <c r="F6" s="538"/>
      <c r="G6" s="538"/>
      <c r="H6" s="538"/>
      <c r="I6" s="538"/>
    </row>
    <row r="7" spans="1:10" s="210" customFormat="1">
      <c r="A7" s="658" t="s">
        <v>28</v>
      </c>
      <c r="B7" s="658"/>
      <c r="C7" s="658"/>
      <c r="D7" s="658"/>
      <c r="E7" s="658"/>
      <c r="F7" s="658"/>
      <c r="G7" s="658"/>
      <c r="H7" s="658"/>
      <c r="I7" s="658"/>
    </row>
    <row r="8" spans="1:10" s="210" customFormat="1" ht="12.75" customHeight="1"/>
    <row r="9" spans="1:10" s="210" customFormat="1">
      <c r="A9" s="625" t="s">
        <v>157</v>
      </c>
      <c r="B9" s="665"/>
      <c r="C9" s="665"/>
      <c r="D9" s="664" t="s">
        <v>34</v>
      </c>
      <c r="E9" s="664"/>
      <c r="F9" s="664"/>
      <c r="G9" s="664"/>
      <c r="H9" s="664"/>
      <c r="I9" s="664"/>
    </row>
    <row r="10" spans="1:10" s="210" customFormat="1">
      <c r="A10" s="666"/>
      <c r="B10" s="666"/>
      <c r="C10" s="666"/>
      <c r="D10" s="642">
        <v>2001</v>
      </c>
      <c r="E10" s="642">
        <v>2002</v>
      </c>
      <c r="F10" s="642">
        <v>2003</v>
      </c>
      <c r="G10" s="642">
        <v>2004</v>
      </c>
      <c r="H10" s="642">
        <v>2005</v>
      </c>
      <c r="I10" s="642">
        <v>2006</v>
      </c>
    </row>
    <row r="11" spans="1:10" s="210" customFormat="1"/>
    <row r="12" spans="1:10" s="210" customFormat="1">
      <c r="A12" s="211" t="s">
        <v>562</v>
      </c>
      <c r="B12" s="212"/>
      <c r="C12" s="213"/>
      <c r="D12" s="214">
        <v>53.540784991515302</v>
      </c>
      <c r="E12" s="214">
        <v>57.142065305666897</v>
      </c>
      <c r="F12" s="214">
        <v>39.286623565280401</v>
      </c>
      <c r="G12" s="214">
        <v>33.148176594217595</v>
      </c>
      <c r="H12" s="214">
        <v>42.130806141443173</v>
      </c>
      <c r="I12" s="214">
        <v>38.330142198653498</v>
      </c>
    </row>
    <row r="13" spans="1:10" s="210" customFormat="1">
      <c r="A13" s="215" t="s">
        <v>563</v>
      </c>
      <c r="B13" s="212"/>
      <c r="C13" s="213"/>
      <c r="D13" s="214">
        <v>19.467122983455774</v>
      </c>
      <c r="E13" s="214">
        <v>19.162648041715403</v>
      </c>
      <c r="F13" s="214">
        <v>16.806703732898882</v>
      </c>
      <c r="G13" s="214">
        <v>14.094047043969587</v>
      </c>
      <c r="H13" s="214">
        <v>12.166955937700997</v>
      </c>
      <c r="I13" s="214">
        <v>12.745524109479252</v>
      </c>
    </row>
    <row r="14" spans="1:10" s="210" customFormat="1" ht="16.5" customHeight="1">
      <c r="A14" s="212"/>
      <c r="B14" s="215" t="s">
        <v>211</v>
      </c>
      <c r="C14" s="215"/>
      <c r="D14" s="214">
        <v>15.474937435960557</v>
      </c>
      <c r="E14" s="214">
        <v>14.363577366930549</v>
      </c>
      <c r="F14" s="214">
        <v>10.126851346697423</v>
      </c>
      <c r="G14" s="214">
        <v>9.5337036916573918</v>
      </c>
      <c r="H14" s="214">
        <v>9.2316092697336067</v>
      </c>
      <c r="I14" s="214">
        <v>9.3466816476132628</v>
      </c>
    </row>
    <row r="15" spans="1:10" s="210" customFormat="1">
      <c r="C15" s="210" t="s">
        <v>164</v>
      </c>
      <c r="D15" s="214">
        <v>0</v>
      </c>
      <c r="E15" s="214">
        <v>0.44759868769217825</v>
      </c>
      <c r="F15" s="214">
        <v>0</v>
      </c>
      <c r="G15" s="214">
        <v>0</v>
      </c>
      <c r="H15" s="214">
        <v>0</v>
      </c>
      <c r="I15" s="214">
        <v>0</v>
      </c>
    </row>
    <row r="16" spans="1:10" s="210" customFormat="1">
      <c r="A16" s="212"/>
      <c r="B16" s="212"/>
      <c r="C16" s="216" t="s">
        <v>161</v>
      </c>
      <c r="D16" s="214">
        <v>9.0167010427035649E-2</v>
      </c>
      <c r="E16" s="214">
        <v>0.19276565040043639</v>
      </c>
      <c r="F16" s="214">
        <v>0.10248676803054915</v>
      </c>
      <c r="G16" s="214">
        <v>2.8815496707908371E-3</v>
      </c>
      <c r="H16" s="214">
        <v>1.7092513895591323E-2</v>
      </c>
      <c r="I16" s="214">
        <v>5.3337447908821417E-2</v>
      </c>
    </row>
    <row r="17" spans="1:9" s="210" customFormat="1" ht="24.75" customHeight="1">
      <c r="A17" s="212"/>
      <c r="B17" s="212"/>
      <c r="C17" s="216" t="s">
        <v>8</v>
      </c>
      <c r="D17" s="857">
        <v>0</v>
      </c>
      <c r="E17" s="857">
        <v>0.17195120130918684</v>
      </c>
      <c r="F17" s="857">
        <v>0</v>
      </c>
      <c r="G17" s="857">
        <v>0</v>
      </c>
      <c r="H17" s="857">
        <v>0</v>
      </c>
      <c r="I17" s="857">
        <v>0</v>
      </c>
    </row>
    <row r="18" spans="1:9" s="210" customFormat="1" ht="18" customHeight="1">
      <c r="A18" s="212"/>
      <c r="B18" s="212"/>
      <c r="C18" s="216" t="s">
        <v>9</v>
      </c>
      <c r="D18" s="214">
        <v>9.8912428478153842</v>
      </c>
      <c r="E18" s="214">
        <v>8.032154762696317</v>
      </c>
      <c r="F18" s="214">
        <v>5.8519207476263864</v>
      </c>
      <c r="G18" s="214">
        <v>5.9290010032726022</v>
      </c>
      <c r="H18" s="214">
        <v>5.0947314715803831</v>
      </c>
      <c r="I18" s="214">
        <v>5.3686693109535248</v>
      </c>
    </row>
    <row r="19" spans="1:9" s="210" customFormat="1" ht="15.75" customHeight="1">
      <c r="A19" s="212"/>
      <c r="B19" s="212"/>
      <c r="C19" s="216" t="s">
        <v>10</v>
      </c>
      <c r="D19" s="214">
        <v>0.74357067272456845</v>
      </c>
      <c r="E19" s="214">
        <v>0.73834242943173589</v>
      </c>
      <c r="F19" s="214">
        <v>0.73349455870573166</v>
      </c>
      <c r="G19" s="214">
        <v>0.55033802159420997</v>
      </c>
      <c r="H19" s="214">
        <v>0.56923039214412596</v>
      </c>
      <c r="I19" s="214">
        <v>0.78196114161111674</v>
      </c>
    </row>
    <row r="20" spans="1:9" s="210" customFormat="1" ht="17.25" customHeight="1">
      <c r="A20" s="212"/>
      <c r="B20" s="212"/>
      <c r="C20" s="216" t="s">
        <v>11</v>
      </c>
      <c r="D20" s="214">
        <v>4.7499569049935699</v>
      </c>
      <c r="E20" s="214">
        <v>4.7807646354006943</v>
      </c>
      <c r="F20" s="214">
        <v>3.4389492723347552</v>
      </c>
      <c r="G20" s="214">
        <v>3.0514831171197891</v>
      </c>
      <c r="H20" s="214">
        <v>3.5505548921135053</v>
      </c>
      <c r="I20" s="214">
        <v>3.1427137471398003</v>
      </c>
    </row>
    <row r="21" spans="1:9" s="210" customFormat="1" ht="17.25" customHeight="1">
      <c r="A21" s="212"/>
      <c r="B21" s="215" t="s">
        <v>212</v>
      </c>
      <c r="C21" s="215"/>
      <c r="D21" s="214">
        <v>3.9921855474952173</v>
      </c>
      <c r="E21" s="214">
        <v>4.7990706747848551</v>
      </c>
      <c r="F21" s="214">
        <v>6.6798523862014578</v>
      </c>
      <c r="G21" s="214">
        <v>4.560343352312195</v>
      </c>
      <c r="H21" s="214">
        <v>2.9353466679673916</v>
      </c>
      <c r="I21" s="214">
        <v>3.3988424618659892</v>
      </c>
    </row>
    <row r="22" spans="1:9" s="210" customFormat="1" ht="15" customHeight="1">
      <c r="A22" s="212"/>
      <c r="B22" s="212"/>
      <c r="C22" s="216" t="s">
        <v>12</v>
      </c>
      <c r="D22" s="214">
        <v>1.4791293687318281</v>
      </c>
      <c r="E22" s="214">
        <v>1.4219485722156033</v>
      </c>
      <c r="F22" s="214">
        <v>1.0884093457656292</v>
      </c>
      <c r="G22" s="214">
        <v>0.27504972256457816</v>
      </c>
      <c r="H22" s="214">
        <v>0.22684963739146094</v>
      </c>
      <c r="I22" s="214">
        <v>0.13373890860104254</v>
      </c>
    </row>
    <row r="23" spans="1:9" s="210" customFormat="1" ht="15.75" customHeight="1">
      <c r="A23" s="212"/>
      <c r="B23" s="212"/>
      <c r="C23" s="216" t="s">
        <v>13</v>
      </c>
      <c r="D23" s="214">
        <v>0.7199408744335386</v>
      </c>
      <c r="E23" s="214">
        <v>0.59618301408787078</v>
      </c>
      <c r="F23" s="214">
        <v>3.2120963043477899</v>
      </c>
      <c r="G23" s="214">
        <v>0.56870117722107127</v>
      </c>
      <c r="H23" s="214">
        <v>0.68579774941536276</v>
      </c>
      <c r="I23" s="214">
        <v>0.72027070552577255</v>
      </c>
    </row>
    <row r="24" spans="1:9" s="210" customFormat="1">
      <c r="A24" s="212"/>
      <c r="B24" s="212"/>
      <c r="C24" s="216" t="s">
        <v>14</v>
      </c>
      <c r="D24" s="214">
        <v>1.1826985958286467</v>
      </c>
      <c r="E24" s="214">
        <v>2.7809390884813814</v>
      </c>
      <c r="F24" s="214">
        <v>1.8829462189710731</v>
      </c>
      <c r="G24" s="214">
        <v>3.4894952306417251</v>
      </c>
      <c r="H24" s="214">
        <v>1.8142816688110517</v>
      </c>
      <c r="I24" s="214">
        <v>2.2352017577097785</v>
      </c>
    </row>
    <row r="25" spans="1:9" s="210" customFormat="1">
      <c r="A25" s="212"/>
      <c r="B25" s="212"/>
      <c r="C25" s="216" t="s">
        <v>15</v>
      </c>
      <c r="D25" s="214">
        <v>0.61041670850120389</v>
      </c>
      <c r="E25" s="214">
        <v>0</v>
      </c>
      <c r="F25" s="214">
        <v>0.49640051711696537</v>
      </c>
      <c r="G25" s="214">
        <v>0.22709722188482082</v>
      </c>
      <c r="H25" s="214">
        <v>0.20841761234951611</v>
      </c>
      <c r="I25" s="214">
        <v>0.30963109002939526</v>
      </c>
    </row>
    <row r="26" spans="1:9" s="210" customFormat="1" ht="18" customHeight="1">
      <c r="A26" s="215" t="s">
        <v>564</v>
      </c>
      <c r="B26" s="212"/>
      <c r="C26" s="213"/>
      <c r="D26" s="214">
        <v>34.073662008059529</v>
      </c>
      <c r="E26" s="214">
        <v>37.979417263951497</v>
      </c>
      <c r="F26" s="214">
        <v>22.479919832381519</v>
      </c>
      <c r="G26" s="214">
        <v>19.054129550248007</v>
      </c>
      <c r="H26" s="214">
        <v>29.963850203742172</v>
      </c>
      <c r="I26" s="214">
        <v>25.584618089174246</v>
      </c>
    </row>
    <row r="27" spans="1:9" s="210" customFormat="1" ht="15.75" customHeight="1">
      <c r="A27" s="212"/>
      <c r="B27" s="215" t="s">
        <v>149</v>
      </c>
      <c r="C27" s="215"/>
      <c r="D27" s="214">
        <v>7.3170347184498699</v>
      </c>
      <c r="E27" s="214">
        <v>9.1530040396446957</v>
      </c>
      <c r="F27" s="214">
        <v>6.5316606028585724</v>
      </c>
      <c r="G27" s="214">
        <v>5.565454064585702</v>
      </c>
      <c r="H27" s="214">
        <v>10.647085308730425</v>
      </c>
      <c r="I27" s="214">
        <v>10.402974774323727</v>
      </c>
    </row>
    <row r="28" spans="1:9" s="210" customFormat="1" ht="18.75" customHeight="1">
      <c r="A28" s="212"/>
      <c r="B28" s="212"/>
      <c r="C28" s="216" t="s">
        <v>161</v>
      </c>
      <c r="D28" s="214">
        <v>0.24774738945967859</v>
      </c>
      <c r="E28" s="214">
        <v>0</v>
      </c>
      <c r="F28" s="214">
        <v>0</v>
      </c>
      <c r="G28" s="214">
        <v>0.15047357275372786</v>
      </c>
      <c r="H28" s="214">
        <v>0.92135310104372126</v>
      </c>
      <c r="I28" s="214">
        <v>0.41503506977892446</v>
      </c>
    </row>
    <row r="29" spans="1:9" s="210" customFormat="1" ht="16.5" customHeight="1">
      <c r="A29" s="212"/>
      <c r="B29" s="212"/>
      <c r="C29" s="216" t="s">
        <v>9</v>
      </c>
      <c r="D29" s="214">
        <v>0.70894871394330128</v>
      </c>
      <c r="E29" s="214">
        <v>0.51585334949914918</v>
      </c>
      <c r="F29" s="214">
        <v>0.64863000903283474</v>
      </c>
      <c r="G29" s="214">
        <v>7.6470178526996313E-3</v>
      </c>
      <c r="H29" s="214">
        <v>0.35771705865174519</v>
      </c>
      <c r="I29" s="214">
        <v>8.9170460102994453E-2</v>
      </c>
    </row>
    <row r="30" spans="1:9" s="210" customFormat="1" ht="15" customHeight="1">
      <c r="A30" s="212"/>
      <c r="B30" s="212"/>
      <c r="C30" s="216" t="s">
        <v>10</v>
      </c>
      <c r="D30" s="214">
        <v>3.3238723725411399</v>
      </c>
      <c r="E30" s="214">
        <v>7.8429415486344993</v>
      </c>
      <c r="F30" s="214">
        <v>5.552420982552019</v>
      </c>
      <c r="G30" s="214">
        <v>4.1429915448598269</v>
      </c>
      <c r="H30" s="214">
        <v>5.9363438703854499</v>
      </c>
      <c r="I30" s="214">
        <v>7.7733443878944213</v>
      </c>
    </row>
    <row r="31" spans="1:9" s="210" customFormat="1" ht="16.5" customHeight="1">
      <c r="A31" s="212"/>
      <c r="B31" s="212"/>
      <c r="C31" s="216" t="s">
        <v>11</v>
      </c>
      <c r="D31" s="214">
        <v>0</v>
      </c>
      <c r="E31" s="214">
        <v>0</v>
      </c>
      <c r="F31" s="214">
        <v>0</v>
      </c>
      <c r="G31" s="214">
        <v>1.074742477089817E-2</v>
      </c>
      <c r="H31" s="214">
        <v>1.2038699555478078E-2</v>
      </c>
      <c r="I31" s="214">
        <v>5.3682098270656977E-3</v>
      </c>
    </row>
    <row r="32" spans="1:9" s="210" customFormat="1" ht="16.5" customHeight="1">
      <c r="A32" s="212"/>
      <c r="B32" s="215" t="s">
        <v>150</v>
      </c>
      <c r="C32" s="217"/>
      <c r="D32" s="214">
        <v>3.03646624250575</v>
      </c>
      <c r="E32" s="214">
        <v>0.79420914151104693</v>
      </c>
      <c r="F32" s="214">
        <v>0.33060961127371907</v>
      </c>
      <c r="G32" s="214">
        <v>1.2535945043485501</v>
      </c>
      <c r="H32" s="214">
        <v>3.4196325790940292</v>
      </c>
      <c r="I32" s="214">
        <v>2.1200566467203212</v>
      </c>
    </row>
    <row r="33" spans="1:9" s="210" customFormat="1" ht="17.25" customHeight="1">
      <c r="C33" s="210" t="s">
        <v>164</v>
      </c>
      <c r="D33" s="214">
        <v>26.756627289609661</v>
      </c>
      <c r="E33" s="214">
        <v>28.826413224306805</v>
      </c>
      <c r="F33" s="214">
        <v>15.948259229522945</v>
      </c>
      <c r="G33" s="214">
        <v>13.488675485662306</v>
      </c>
      <c r="H33" s="214">
        <v>19.316764895011744</v>
      </c>
      <c r="I33" s="214">
        <v>15.181643314850518</v>
      </c>
    </row>
    <row r="34" spans="1:9" s="210" customFormat="1" ht="15" customHeight="1">
      <c r="A34" s="212"/>
      <c r="B34" s="212"/>
      <c r="C34" s="216" t="s">
        <v>12</v>
      </c>
      <c r="D34" s="214">
        <v>0</v>
      </c>
      <c r="E34" s="214">
        <v>0</v>
      </c>
      <c r="F34" s="214">
        <v>0</v>
      </c>
      <c r="G34" s="214">
        <v>0</v>
      </c>
      <c r="H34" s="214">
        <v>4.7739435527944284E-3</v>
      </c>
      <c r="I34" s="214">
        <v>3.3797384220723343E-3</v>
      </c>
    </row>
    <row r="35" spans="1:9" s="210" customFormat="1">
      <c r="A35" s="212"/>
      <c r="B35" s="212"/>
      <c r="C35" s="216" t="s">
        <v>13</v>
      </c>
      <c r="D35" s="214">
        <v>22.993524752528611</v>
      </c>
      <c r="E35" s="214">
        <v>17.147696964906519</v>
      </c>
      <c r="F35" s="214">
        <v>5.6831846144961862</v>
      </c>
      <c r="G35" s="214">
        <v>4.5602612834674066</v>
      </c>
      <c r="H35" s="214">
        <v>8.8829740002272324</v>
      </c>
      <c r="I35" s="214">
        <v>3.6283129705373609</v>
      </c>
    </row>
    <row r="36" spans="1:9" s="210" customFormat="1">
      <c r="A36" s="218"/>
      <c r="B36" s="218"/>
      <c r="C36" s="219" t="s">
        <v>14</v>
      </c>
      <c r="D36" s="220">
        <v>3.7631025370810471</v>
      </c>
      <c r="E36" s="220">
        <v>11.678716259400282</v>
      </c>
      <c r="F36" s="220">
        <v>10.265074615026759</v>
      </c>
      <c r="G36" s="220">
        <v>8.9284142021948991</v>
      </c>
      <c r="H36" s="220">
        <v>10.429016951231716</v>
      </c>
      <c r="I36" s="220">
        <v>11.549950605891084</v>
      </c>
    </row>
    <row r="37" spans="1:9">
      <c r="A37" s="278" t="s">
        <v>228</v>
      </c>
      <c r="B37" s="210"/>
      <c r="C37" s="210"/>
      <c r="D37" s="210"/>
      <c r="E37" s="210"/>
      <c r="F37" s="210"/>
      <c r="G37" s="210"/>
      <c r="H37" s="210"/>
      <c r="I37" s="210"/>
    </row>
    <row r="38" spans="1:9">
      <c r="A38" s="270" t="s">
        <v>214</v>
      </c>
      <c r="B38" s="210"/>
      <c r="C38" s="210"/>
      <c r="D38" s="210"/>
      <c r="E38" s="210"/>
      <c r="F38" s="210"/>
      <c r="G38" s="210"/>
      <c r="H38" s="210"/>
      <c r="I38" s="210"/>
    </row>
    <row r="40" spans="1:9">
      <c r="A40" s="210" t="s">
        <v>170</v>
      </c>
    </row>
  </sheetData>
  <mergeCells count="6">
    <mergeCell ref="A9:C10"/>
    <mergeCell ref="A3:I3"/>
    <mergeCell ref="A5:I5"/>
    <mergeCell ref="A6:I6"/>
    <mergeCell ref="A7:I7"/>
    <mergeCell ref="A4:I4"/>
  </mergeCells>
  <hyperlinks>
    <hyperlink ref="J1" location="Indice!A1" display="Cuadro 10. Cuenta de gastos y transacciones ambientales: gasto ambiental per cápita con base en gastos de la administración central del Gobierno de Guatemala"/>
    <hyperlink ref="A1" location="Indice!A1" display="Cuadro 10. Cuenta de gastos y transacciones ambientales: gasto ambiental per cápita con base en gastos de la administración central del Gobierno de Guatemala, quetzales de cada año, incluye agua y saneamiento"/>
  </hyperlinks>
  <pageMargins left="0.7" right="0.7" top="0.75" bottom="0.75" header="0.3" footer="0.3"/>
  <pageSetup scale="94" orientation="portrait" r:id="rId1"/>
</worksheet>
</file>

<file path=xl/worksheets/sheet15.xml><?xml version="1.0" encoding="utf-8"?>
<worksheet xmlns="http://schemas.openxmlformats.org/spreadsheetml/2006/main" xmlns:r="http://schemas.openxmlformats.org/officeDocument/2006/relationships">
  <sheetPr>
    <tabColor theme="3" tint="0.39997558519241921"/>
    <pageSetUpPr fitToPage="1"/>
  </sheetPr>
  <dimension ref="A1:AS28"/>
  <sheetViews>
    <sheetView showGridLines="0" topLeftCell="A2" workbookViewId="0">
      <selection activeCell="A2" sqref="A2"/>
    </sheetView>
  </sheetViews>
  <sheetFormatPr baseColWidth="10" defaultRowHeight="12.75"/>
  <cols>
    <col min="1" max="1" width="2.1640625" style="44" customWidth="1"/>
    <col min="2" max="3" width="1.6640625" style="44" customWidth="1"/>
    <col min="4" max="4" width="51.6640625" style="44" customWidth="1"/>
    <col min="5" max="5" width="8.5" style="44" customWidth="1"/>
    <col min="6" max="6" width="8.83203125" style="44" customWidth="1"/>
    <col min="7" max="7" width="7.83203125" style="44" customWidth="1"/>
    <col min="8" max="8" width="8.33203125" style="44" customWidth="1"/>
    <col min="9" max="9" width="8.5" style="44" customWidth="1"/>
    <col min="10" max="10" width="7.1640625" style="44" customWidth="1"/>
    <col min="11" max="11" width="8.1640625" style="44" customWidth="1"/>
    <col min="12" max="12" width="7.1640625" style="44" customWidth="1"/>
    <col min="13" max="13" width="8.6640625" style="44" customWidth="1"/>
    <col min="14" max="14" width="8" style="44" customWidth="1"/>
    <col min="15" max="15" width="7.1640625" style="44" customWidth="1"/>
    <col min="16" max="16" width="7.5" style="44" customWidth="1"/>
    <col min="17" max="17" width="8.33203125" style="44" customWidth="1"/>
    <col min="18" max="18" width="7.33203125" style="44" customWidth="1"/>
    <col min="19" max="19" width="6.6640625" style="44" customWidth="1"/>
    <col min="20" max="20" width="8" style="44" customWidth="1"/>
    <col min="21" max="21" width="7.33203125" style="44" customWidth="1"/>
    <col min="22" max="22" width="8.1640625" style="44" customWidth="1"/>
    <col min="23" max="16384" width="12" style="44"/>
  </cols>
  <sheetData>
    <row r="1" spans="1:45" hidden="1">
      <c r="B1" s="2"/>
      <c r="C1" s="2"/>
      <c r="D1" s="7" t="s">
        <v>301</v>
      </c>
      <c r="E1" s="2"/>
      <c r="F1" s="2"/>
      <c r="G1" s="2"/>
      <c r="H1" s="2"/>
    </row>
    <row r="2" spans="1:45">
      <c r="A2" s="270" t="s">
        <v>656</v>
      </c>
      <c r="D2" s="19" t="s">
        <v>178</v>
      </c>
      <c r="E2" s="18"/>
      <c r="F2" s="18"/>
      <c r="G2" s="18"/>
      <c r="H2" s="18"/>
      <c r="I2" s="18"/>
      <c r="J2" s="18"/>
      <c r="K2" s="18"/>
      <c r="L2" s="18"/>
      <c r="M2" s="18"/>
      <c r="N2" s="18"/>
      <c r="O2" s="18"/>
      <c r="P2" s="18"/>
      <c r="Q2" s="18"/>
      <c r="R2" s="18"/>
      <c r="S2" s="18"/>
      <c r="T2" s="18"/>
      <c r="U2" s="18"/>
      <c r="V2" s="18"/>
    </row>
    <row r="3" spans="1:45">
      <c r="A3" s="30" t="s">
        <v>217</v>
      </c>
      <c r="D3" s="19"/>
      <c r="E3" s="18"/>
      <c r="F3" s="18"/>
      <c r="G3" s="18"/>
      <c r="H3" s="18"/>
      <c r="I3" s="18"/>
      <c r="J3" s="18"/>
      <c r="K3" s="18"/>
      <c r="L3" s="18"/>
      <c r="M3" s="18"/>
      <c r="N3" s="18"/>
      <c r="O3" s="18"/>
      <c r="P3" s="18"/>
      <c r="Q3" s="18"/>
      <c r="R3" s="18"/>
      <c r="S3" s="18"/>
      <c r="T3" s="18"/>
      <c r="U3" s="18"/>
      <c r="V3" s="18"/>
    </row>
    <row r="4" spans="1:45">
      <c r="D4" s="113" t="s">
        <v>17</v>
      </c>
      <c r="E4" s="18"/>
      <c r="F4" s="18"/>
      <c r="G4" s="18"/>
      <c r="H4" s="18"/>
      <c r="I4" s="18"/>
      <c r="J4" s="18"/>
      <c r="K4" s="18"/>
      <c r="L4" s="18"/>
      <c r="M4" s="18"/>
      <c r="N4" s="18"/>
      <c r="O4" s="18"/>
      <c r="P4" s="18"/>
      <c r="Q4" s="18"/>
      <c r="R4" s="18"/>
      <c r="S4" s="18"/>
      <c r="T4" s="18"/>
      <c r="U4" s="18"/>
      <c r="V4" s="18"/>
    </row>
    <row r="5" spans="1:45">
      <c r="D5" s="113" t="s">
        <v>215</v>
      </c>
      <c r="E5" s="18"/>
      <c r="F5" s="18"/>
      <c r="G5" s="18"/>
      <c r="H5" s="18"/>
      <c r="I5" s="18"/>
      <c r="J5" s="18"/>
      <c r="K5" s="18"/>
      <c r="L5" s="18"/>
      <c r="M5" s="18"/>
      <c r="N5" s="18"/>
      <c r="O5" s="18"/>
      <c r="P5" s="18"/>
      <c r="Q5" s="18"/>
      <c r="R5" s="18"/>
      <c r="S5" s="18"/>
      <c r="T5" s="18"/>
      <c r="U5" s="18"/>
      <c r="V5" s="18"/>
    </row>
    <row r="6" spans="1:45">
      <c r="D6" s="242" t="s">
        <v>29</v>
      </c>
      <c r="E6" s="18"/>
      <c r="F6" s="18"/>
      <c r="G6" s="18"/>
      <c r="H6" s="18"/>
      <c r="I6" s="18"/>
      <c r="J6" s="18"/>
      <c r="K6" s="18"/>
      <c r="L6" s="18"/>
      <c r="M6" s="18"/>
      <c r="N6" s="18"/>
      <c r="O6" s="18"/>
      <c r="P6" s="18"/>
      <c r="Q6" s="18"/>
      <c r="R6" s="18"/>
      <c r="S6" s="18"/>
      <c r="T6" s="18"/>
      <c r="U6" s="18"/>
      <c r="V6" s="18"/>
    </row>
    <row r="7" spans="1:45">
      <c r="E7" s="18"/>
      <c r="F7" s="18"/>
      <c r="G7" s="18"/>
      <c r="H7" s="18"/>
      <c r="I7" s="18"/>
      <c r="J7" s="18"/>
      <c r="K7" s="18"/>
      <c r="L7" s="18"/>
      <c r="M7" s="18"/>
      <c r="N7" s="18"/>
      <c r="O7" s="18"/>
      <c r="P7" s="18"/>
      <c r="Q7" s="18"/>
      <c r="R7" s="18"/>
      <c r="S7" s="18"/>
      <c r="T7" s="18"/>
      <c r="U7" s="18"/>
      <c r="V7" s="18"/>
    </row>
    <row r="8" spans="1:45" s="111" customFormat="1">
      <c r="B8" s="625" t="s">
        <v>555</v>
      </c>
      <c r="C8" s="625"/>
      <c r="D8" s="625"/>
      <c r="E8" s="606">
        <v>2001</v>
      </c>
      <c r="F8" s="606"/>
      <c r="G8" s="606"/>
      <c r="H8" s="603">
        <v>2002</v>
      </c>
      <c r="I8" s="603"/>
      <c r="J8" s="603"/>
      <c r="K8" s="606">
        <v>2003</v>
      </c>
      <c r="L8" s="606"/>
      <c r="M8" s="606"/>
      <c r="N8" s="603">
        <v>2004</v>
      </c>
      <c r="O8" s="603"/>
      <c r="P8" s="603"/>
      <c r="Q8" s="606">
        <v>2005</v>
      </c>
      <c r="R8" s="606"/>
      <c r="S8" s="606"/>
      <c r="T8" s="603">
        <v>2006</v>
      </c>
      <c r="U8" s="603"/>
      <c r="V8" s="603"/>
    </row>
    <row r="9" spans="1:45">
      <c r="B9" s="626"/>
      <c r="C9" s="626"/>
      <c r="D9" s="626"/>
      <c r="E9" s="662" t="s">
        <v>205</v>
      </c>
      <c r="F9" s="662" t="s">
        <v>0</v>
      </c>
      <c r="G9" s="662" t="s">
        <v>559</v>
      </c>
      <c r="H9" s="659" t="s">
        <v>205</v>
      </c>
      <c r="I9" s="659" t="s">
        <v>0</v>
      </c>
      <c r="J9" s="659" t="s">
        <v>559</v>
      </c>
      <c r="K9" s="662" t="s">
        <v>205</v>
      </c>
      <c r="L9" s="662" t="s">
        <v>0</v>
      </c>
      <c r="M9" s="662" t="s">
        <v>559</v>
      </c>
      <c r="N9" s="659" t="s">
        <v>205</v>
      </c>
      <c r="O9" s="659" t="s">
        <v>0</v>
      </c>
      <c r="P9" s="659" t="s">
        <v>6</v>
      </c>
      <c r="Q9" s="662" t="s">
        <v>205</v>
      </c>
      <c r="R9" s="662" t="s">
        <v>0</v>
      </c>
      <c r="S9" s="662" t="s">
        <v>6</v>
      </c>
      <c r="T9" s="659" t="s">
        <v>205</v>
      </c>
      <c r="U9" s="659" t="s">
        <v>0</v>
      </c>
      <c r="V9" s="659" t="s">
        <v>6</v>
      </c>
    </row>
    <row r="10" spans="1:45">
      <c r="B10" s="157" t="s">
        <v>211</v>
      </c>
      <c r="C10" s="157"/>
      <c r="D10" s="202"/>
      <c r="E10" s="853"/>
      <c r="F10" s="853"/>
      <c r="G10" s="853"/>
      <c r="H10" s="853"/>
      <c r="I10" s="853"/>
      <c r="J10" s="853"/>
      <c r="K10" s="853"/>
      <c r="L10" s="853"/>
      <c r="M10" s="853"/>
      <c r="N10" s="853"/>
      <c r="O10" s="853"/>
      <c r="P10" s="853"/>
      <c r="Q10" s="853"/>
      <c r="R10" s="853"/>
      <c r="S10" s="853"/>
      <c r="T10" s="853"/>
      <c r="U10" s="853"/>
      <c r="V10" s="853"/>
    </row>
    <row r="11" spans="1:45">
      <c r="B11" s="97"/>
      <c r="C11" s="97"/>
      <c r="D11" s="814" t="s">
        <v>164</v>
      </c>
      <c r="E11" s="854" t="s">
        <v>654</v>
      </c>
      <c r="F11" s="854" t="s">
        <v>654</v>
      </c>
      <c r="G11" s="854" t="s">
        <v>654</v>
      </c>
      <c r="H11" s="854" t="s">
        <v>654</v>
      </c>
      <c r="I11" s="854" t="s">
        <v>654</v>
      </c>
      <c r="J11" s="854" t="s">
        <v>654</v>
      </c>
      <c r="K11" s="854" t="s">
        <v>654</v>
      </c>
      <c r="L11" s="854" t="s">
        <v>654</v>
      </c>
      <c r="M11" s="854" t="s">
        <v>654</v>
      </c>
      <c r="N11" s="854" t="s">
        <v>654</v>
      </c>
      <c r="O11" s="854" t="s">
        <v>654</v>
      </c>
      <c r="P11" s="854" t="s">
        <v>654</v>
      </c>
      <c r="Q11" s="854" t="s">
        <v>654</v>
      </c>
      <c r="R11" s="854" t="s">
        <v>654</v>
      </c>
      <c r="S11" s="854" t="s">
        <v>654</v>
      </c>
      <c r="T11" s="854" t="s">
        <v>654</v>
      </c>
      <c r="U11" s="854" t="s">
        <v>654</v>
      </c>
      <c r="V11" s="854" t="s">
        <v>654</v>
      </c>
    </row>
    <row r="12" spans="1:45">
      <c r="B12" s="97"/>
      <c r="C12" s="97"/>
      <c r="D12" s="156" t="s">
        <v>7</v>
      </c>
      <c r="E12" s="852">
        <v>1.03725</v>
      </c>
      <c r="F12" s="852">
        <v>8.1555</v>
      </c>
      <c r="G12" s="852">
        <v>9.1927500000000002</v>
      </c>
      <c r="H12" s="852">
        <v>2.1352148266620232</v>
      </c>
      <c r="I12" s="852">
        <v>5.7139729923135523</v>
      </c>
      <c r="J12" s="852">
        <v>7.849187818975575</v>
      </c>
      <c r="K12" s="852">
        <v>1.1140632350967368</v>
      </c>
      <c r="L12" s="852">
        <v>0</v>
      </c>
      <c r="M12" s="852">
        <v>1.1140632350967368</v>
      </c>
      <c r="N12" s="852">
        <v>8.0330583999903393E-2</v>
      </c>
      <c r="O12" s="852">
        <v>0.11060075890182793</v>
      </c>
      <c r="P12" s="852">
        <v>0.18404849129219109</v>
      </c>
      <c r="Q12" s="852">
        <v>3.6463659772983923</v>
      </c>
      <c r="R12" s="852">
        <v>3.820597425388379</v>
      </c>
      <c r="S12" s="852">
        <v>0.55731124926940845</v>
      </c>
      <c r="T12" s="852">
        <v>0.88776747530539557</v>
      </c>
      <c r="U12" s="852">
        <v>1.418786956583785</v>
      </c>
      <c r="V12" s="852">
        <v>4.1320257362725137</v>
      </c>
    </row>
    <row r="13" spans="1:45" ht="24.75" customHeight="1">
      <c r="B13" s="97"/>
      <c r="C13" s="97"/>
      <c r="D13" s="156" t="s">
        <v>8</v>
      </c>
      <c r="E13" s="854" t="s">
        <v>654</v>
      </c>
      <c r="F13" s="854" t="s">
        <v>654</v>
      </c>
      <c r="G13" s="854" t="s">
        <v>654</v>
      </c>
      <c r="H13" s="852">
        <v>1.9046586035168991</v>
      </c>
      <c r="I13" s="854" t="s">
        <v>654</v>
      </c>
      <c r="J13" s="852">
        <v>1.9046586035168991</v>
      </c>
      <c r="K13" s="854" t="s">
        <v>654</v>
      </c>
      <c r="L13" s="854" t="s">
        <v>654</v>
      </c>
      <c r="M13" s="854" t="s">
        <v>654</v>
      </c>
      <c r="N13" s="854" t="s">
        <v>654</v>
      </c>
      <c r="O13" s="854" t="s">
        <v>654</v>
      </c>
      <c r="P13" s="854" t="s">
        <v>654</v>
      </c>
      <c r="Q13" s="854" t="s">
        <v>654</v>
      </c>
      <c r="R13" s="854" t="s">
        <v>654</v>
      </c>
      <c r="S13" s="854" t="s">
        <v>654</v>
      </c>
      <c r="T13" s="854" t="s">
        <v>654</v>
      </c>
      <c r="U13" s="854" t="s">
        <v>654</v>
      </c>
      <c r="V13" s="852">
        <v>1.418786956583785</v>
      </c>
    </row>
    <row r="14" spans="1:45">
      <c r="B14" s="97"/>
      <c r="C14" s="97"/>
      <c r="D14" s="156" t="s">
        <v>9</v>
      </c>
      <c r="E14" s="852">
        <v>113.78542546</v>
      </c>
      <c r="F14" s="852">
        <v>38.236674389999997</v>
      </c>
      <c r="G14" s="852">
        <v>152.02209984999999</v>
      </c>
      <c r="H14" s="852">
        <v>88.97008312282972</v>
      </c>
      <c r="I14" s="852">
        <v>86.874217706839318</v>
      </c>
      <c r="J14" s="852">
        <v>175.84430082966904</v>
      </c>
      <c r="K14" s="852">
        <v>63.612209506763534</v>
      </c>
      <c r="L14" s="852">
        <v>60.356553351326902</v>
      </c>
      <c r="M14" s="852">
        <v>123.96876285809044</v>
      </c>
      <c r="N14" s="852">
        <v>43.521400984798291</v>
      </c>
      <c r="O14" s="852">
        <v>105.80451870509494</v>
      </c>
      <c r="P14" s="852">
        <v>54.858966130492341</v>
      </c>
      <c r="Q14" s="852">
        <v>60.51174187807149</v>
      </c>
      <c r="R14" s="852">
        <v>112.44456155253921</v>
      </c>
      <c r="S14" s="852">
        <v>56.096043547426575</v>
      </c>
      <c r="T14" s="852">
        <v>77.390228938480647</v>
      </c>
      <c r="U14" s="852">
        <v>130.83988025159209</v>
      </c>
      <c r="V14" s="854" t="s">
        <v>654</v>
      </c>
    </row>
    <row r="15" spans="1:45">
      <c r="A15" s="2"/>
      <c r="B15" s="25"/>
      <c r="C15" s="25"/>
      <c r="D15" s="156" t="s">
        <v>10</v>
      </c>
      <c r="E15" s="852">
        <v>8.5537790000000005</v>
      </c>
      <c r="F15" s="852">
        <v>0</v>
      </c>
      <c r="G15" s="852">
        <v>8.5537790000000005</v>
      </c>
      <c r="H15" s="852">
        <v>8.1784264945614584</v>
      </c>
      <c r="I15" s="852">
        <v>0</v>
      </c>
      <c r="J15" s="852">
        <v>8.1784264945614584</v>
      </c>
      <c r="K15" s="852">
        <v>7.9733153528071323</v>
      </c>
      <c r="L15" s="852">
        <v>0</v>
      </c>
      <c r="M15" s="852">
        <v>7.9733153528071323</v>
      </c>
      <c r="N15" s="852">
        <v>0.11289981597682422</v>
      </c>
      <c r="O15" s="852">
        <v>5.8941044010304875</v>
      </c>
      <c r="P15" s="852">
        <v>6.129349697285372</v>
      </c>
      <c r="Q15" s="852">
        <v>0.12271571458030155</v>
      </c>
      <c r="R15" s="852">
        <v>5.9251293399793665</v>
      </c>
      <c r="S15" s="852">
        <v>8.1705397951623482</v>
      </c>
      <c r="T15" s="852">
        <v>5.3445076761734565E-2</v>
      </c>
      <c r="U15" s="852">
        <v>7.838530716930074</v>
      </c>
      <c r="V15" s="852">
        <v>130.83988025159209</v>
      </c>
    </row>
    <row r="16" spans="1:45" s="2" customFormat="1">
      <c r="A16" s="44"/>
      <c r="B16" s="97"/>
      <c r="C16" s="97"/>
      <c r="D16" s="156" t="s">
        <v>11</v>
      </c>
      <c r="E16" s="852">
        <v>54.641855999999997</v>
      </c>
      <c r="F16" s="852">
        <v>34.930453999999997</v>
      </c>
      <c r="G16" s="852">
        <v>89.572310000000002</v>
      </c>
      <c r="H16" s="852">
        <v>52.955282806266567</v>
      </c>
      <c r="I16" s="852">
        <v>8.79724749146005</v>
      </c>
      <c r="J16" s="852">
        <v>61.752530297726622</v>
      </c>
      <c r="K16" s="852">
        <v>37.382454587004098</v>
      </c>
      <c r="L16" s="852">
        <v>3.5938299174375916</v>
      </c>
      <c r="M16" s="852">
        <v>40.976284504441686</v>
      </c>
      <c r="N16" s="852">
        <v>13.168790837573052</v>
      </c>
      <c r="O16" s="852">
        <v>45.22408684783943</v>
      </c>
      <c r="P16" s="852">
        <v>38.231606838836612</v>
      </c>
      <c r="Q16" s="852">
        <v>34.857806161849894</v>
      </c>
      <c r="R16" s="852">
        <v>71.050160554815008</v>
      </c>
      <c r="S16" s="852">
        <v>32.837523975813475</v>
      </c>
      <c r="T16" s="852">
        <v>21.106960024535283</v>
      </c>
      <c r="U16" s="852">
        <v>52.395337876161605</v>
      </c>
      <c r="V16" s="852">
        <v>7.838530716930074</v>
      </c>
      <c r="X16" s="44"/>
      <c r="Y16" s="44"/>
      <c r="Z16" s="44"/>
      <c r="AA16" s="44"/>
      <c r="AB16" s="44"/>
      <c r="AC16" s="44"/>
      <c r="AD16" s="44"/>
      <c r="AE16" s="44"/>
      <c r="AF16" s="44"/>
      <c r="AG16" s="44"/>
      <c r="AH16" s="44"/>
      <c r="AI16" s="44"/>
      <c r="AJ16" s="44"/>
      <c r="AK16" s="44"/>
      <c r="AL16" s="44"/>
      <c r="AM16" s="44"/>
      <c r="AN16" s="44"/>
      <c r="AO16" s="44"/>
      <c r="AP16" s="44"/>
      <c r="AQ16" s="44"/>
      <c r="AR16" s="44"/>
      <c r="AS16" s="44"/>
    </row>
    <row r="17" spans="1:45" s="635" customFormat="1">
      <c r="B17" s="631"/>
      <c r="C17" s="631" t="s">
        <v>556</v>
      </c>
      <c r="D17" s="632"/>
      <c r="E17" s="855">
        <v>178.01831045999998</v>
      </c>
      <c r="F17" s="855">
        <v>81.322628390000006</v>
      </c>
      <c r="G17" s="855">
        <v>259.34093884999999</v>
      </c>
      <c r="H17" s="855">
        <v>154.14366585383667</v>
      </c>
      <c r="I17" s="855">
        <v>101.38543819061293</v>
      </c>
      <c r="J17" s="855">
        <v>255.52910404444961</v>
      </c>
      <c r="K17" s="855">
        <v>110.0820426816715</v>
      </c>
      <c r="L17" s="855">
        <v>63.950383268764497</v>
      </c>
      <c r="M17" s="855">
        <v>174.03242595043599</v>
      </c>
      <c r="N17" s="855">
        <v>56.883422222348074</v>
      </c>
      <c r="O17" s="855">
        <v>157.03331071286669</v>
      </c>
      <c r="P17" s="855">
        <v>99.403971157906511</v>
      </c>
      <c r="Q17" s="855">
        <v>99.138629731800066</v>
      </c>
      <c r="R17" s="855">
        <v>193.24044887272197</v>
      </c>
      <c r="S17" s="855">
        <v>97.661418567671802</v>
      </c>
      <c r="T17" s="855">
        <v>99.438401515083072</v>
      </c>
      <c r="U17" s="855">
        <v>192.49253580126756</v>
      </c>
      <c r="V17" s="855">
        <v>196.62456153754007</v>
      </c>
    </row>
    <row r="18" spans="1:45">
      <c r="B18" s="157" t="s">
        <v>212</v>
      </c>
      <c r="C18" s="157"/>
      <c r="D18" s="202"/>
      <c r="E18" s="852"/>
      <c r="F18" s="852"/>
      <c r="G18" s="852"/>
      <c r="H18" s="852"/>
      <c r="I18" s="852"/>
      <c r="J18" s="852"/>
      <c r="K18" s="852"/>
      <c r="L18" s="852"/>
      <c r="M18" s="852"/>
      <c r="N18" s="852"/>
      <c r="O18" s="852"/>
      <c r="P18" s="852"/>
      <c r="Q18" s="852"/>
      <c r="R18" s="852"/>
      <c r="S18" s="852"/>
      <c r="T18" s="852"/>
      <c r="U18" s="852"/>
      <c r="V18" s="852"/>
    </row>
    <row r="19" spans="1:45">
      <c r="B19" s="97"/>
      <c r="C19" s="97"/>
      <c r="D19" s="156" t="s">
        <v>12</v>
      </c>
      <c r="E19" s="852">
        <v>17.015391000000001</v>
      </c>
      <c r="F19" s="854" t="s">
        <v>654</v>
      </c>
      <c r="G19" s="852">
        <v>17.015391000000001</v>
      </c>
      <c r="H19" s="852">
        <v>15.750553419857507</v>
      </c>
      <c r="I19" s="854" t="s">
        <v>654</v>
      </c>
      <c r="J19" s="852">
        <v>15.750553419857507</v>
      </c>
      <c r="K19" s="852">
        <v>11.831350135773059</v>
      </c>
      <c r="L19" s="854" t="s">
        <v>654</v>
      </c>
      <c r="M19" s="852">
        <v>11.831350135773059</v>
      </c>
      <c r="N19" s="854" t="s">
        <v>654</v>
      </c>
      <c r="O19" s="852">
        <v>2.8893491905244852</v>
      </c>
      <c r="P19" s="852">
        <v>2.442667811599553</v>
      </c>
      <c r="Q19" s="852">
        <v>4.8662888524418121E-2</v>
      </c>
      <c r="R19" s="852">
        <v>2.3610401703470245</v>
      </c>
      <c r="S19" s="852">
        <v>1.3974084091122614</v>
      </c>
      <c r="T19" s="852">
        <v>3.3648159297263058E-2</v>
      </c>
      <c r="U19" s="852">
        <v>1.3651322976734823</v>
      </c>
      <c r="V19" s="852">
        <v>184.98447724606385</v>
      </c>
    </row>
    <row r="20" spans="1:45">
      <c r="B20" s="97"/>
      <c r="C20" s="97"/>
      <c r="D20" s="156" t="s">
        <v>13</v>
      </c>
      <c r="E20" s="852">
        <v>8.2819500000000001</v>
      </c>
      <c r="F20" s="852">
        <v>264.50952999999998</v>
      </c>
      <c r="G20" s="852">
        <v>272.79147999999998</v>
      </c>
      <c r="H20" s="852">
        <v>6.6037637330099415</v>
      </c>
      <c r="I20" s="852">
        <v>189.94056631208235</v>
      </c>
      <c r="J20" s="852">
        <v>196.54433004509229</v>
      </c>
      <c r="K20" s="852">
        <v>34.916491846023504</v>
      </c>
      <c r="L20" s="852">
        <v>61.777994944580136</v>
      </c>
      <c r="M20" s="852">
        <v>96.694486790603634</v>
      </c>
      <c r="N20" s="852">
        <v>47.90474654950107</v>
      </c>
      <c r="O20" s="852">
        <v>53.878852870107259</v>
      </c>
      <c r="P20" s="852">
        <v>7.3845217785099253</v>
      </c>
      <c r="Q20" s="852">
        <v>57.641667636282676</v>
      </c>
      <c r="R20" s="852">
        <v>64.632303168737138</v>
      </c>
      <c r="S20" s="852">
        <v>7.5259500116115774</v>
      </c>
      <c r="T20" s="852">
        <v>18.987557121143322</v>
      </c>
      <c r="U20" s="852">
        <v>26.158462206106297</v>
      </c>
      <c r="V20" s="852">
        <v>1.3651322976734823</v>
      </c>
    </row>
    <row r="21" spans="1:45">
      <c r="A21" s="2"/>
      <c r="B21" s="25"/>
      <c r="C21" s="25"/>
      <c r="D21" s="156" t="s">
        <v>14</v>
      </c>
      <c r="E21" s="852">
        <v>13.605354249999998</v>
      </c>
      <c r="F21" s="852">
        <v>43.289425789999996</v>
      </c>
      <c r="G21" s="852">
        <v>56.894780040000001</v>
      </c>
      <c r="H21" s="852">
        <v>30.803736876536245</v>
      </c>
      <c r="I21" s="852">
        <v>129.36209361807474</v>
      </c>
      <c r="J21" s="852">
        <v>160.16583049461099</v>
      </c>
      <c r="K21" s="852">
        <v>20.468214546435849</v>
      </c>
      <c r="L21" s="852">
        <v>111.58457285644219</v>
      </c>
      <c r="M21" s="852">
        <v>132.05278740287804</v>
      </c>
      <c r="N21" s="852">
        <v>93.791428354276107</v>
      </c>
      <c r="O21" s="852">
        <v>130.44796494695169</v>
      </c>
      <c r="P21" s="852">
        <v>19.535792450628328</v>
      </c>
      <c r="Q21" s="852">
        <v>106.30751782140098</v>
      </c>
      <c r="R21" s="852">
        <v>124.80128206994723</v>
      </c>
      <c r="S21" s="852">
        <v>23.355131015790292</v>
      </c>
      <c r="T21" s="852">
        <v>114.98954336952693</v>
      </c>
      <c r="U21" s="852">
        <v>137.24287052459852</v>
      </c>
      <c r="V21" s="852">
        <v>43.293834603901324</v>
      </c>
    </row>
    <row r="22" spans="1:45" s="2" customFormat="1">
      <c r="A22" s="44"/>
      <c r="B22" s="97"/>
      <c r="C22" s="97"/>
      <c r="D22" s="156" t="s">
        <v>15</v>
      </c>
      <c r="E22" s="852">
        <v>7.0220219999999998</v>
      </c>
      <c r="F22" s="854" t="s">
        <v>654</v>
      </c>
      <c r="G22" s="852">
        <v>7.0220219999999998</v>
      </c>
      <c r="H22" s="854" t="s">
        <v>654</v>
      </c>
      <c r="I22" s="854" t="s">
        <v>654</v>
      </c>
      <c r="J22" s="854" t="s">
        <v>654</v>
      </c>
      <c r="K22" s="852">
        <v>5.396028937493428</v>
      </c>
      <c r="L22" s="854" t="s">
        <v>654</v>
      </c>
      <c r="M22" s="852">
        <v>5.396028937493428</v>
      </c>
      <c r="N22" s="854" t="s">
        <v>654</v>
      </c>
      <c r="O22" s="852">
        <v>2.3856165645439171</v>
      </c>
      <c r="P22" s="852">
        <v>2.2441957541156725</v>
      </c>
      <c r="Q22" s="854" t="s">
        <v>654</v>
      </c>
      <c r="R22" s="852">
        <v>2.1244916124643227</v>
      </c>
      <c r="S22" s="852">
        <v>3.2352670846178841</v>
      </c>
      <c r="T22" s="854" t="s">
        <v>654</v>
      </c>
      <c r="U22" s="852">
        <v>3.0826398198905673</v>
      </c>
      <c r="V22" s="852">
        <v>137.24287052459852</v>
      </c>
      <c r="X22" s="44"/>
      <c r="Y22" s="44"/>
      <c r="Z22" s="44"/>
      <c r="AA22" s="44"/>
      <c r="AB22" s="44"/>
      <c r="AC22" s="44"/>
      <c r="AD22" s="44"/>
      <c r="AE22" s="44"/>
      <c r="AF22" s="44"/>
      <c r="AG22" s="44"/>
      <c r="AH22" s="44"/>
      <c r="AI22" s="44"/>
      <c r="AJ22" s="44"/>
      <c r="AK22" s="44"/>
      <c r="AL22" s="44"/>
      <c r="AM22" s="44"/>
      <c r="AN22" s="44"/>
      <c r="AO22" s="44"/>
      <c r="AP22" s="44"/>
      <c r="AQ22" s="44"/>
      <c r="AR22" s="44"/>
      <c r="AS22" s="44"/>
    </row>
    <row r="23" spans="1:45" s="635" customFormat="1">
      <c r="B23" s="631"/>
      <c r="C23" s="631" t="s">
        <v>557</v>
      </c>
      <c r="D23" s="632"/>
      <c r="E23" s="855">
        <v>45.92471725</v>
      </c>
      <c r="F23" s="855">
        <v>307.79895579000004</v>
      </c>
      <c r="G23" s="855">
        <v>353.72367303999999</v>
      </c>
      <c r="H23" s="855">
        <v>53.158054029403694</v>
      </c>
      <c r="I23" s="855">
        <v>319.30265993015712</v>
      </c>
      <c r="J23" s="855">
        <v>372.46071395956079</v>
      </c>
      <c r="K23" s="855">
        <v>72.612085465725841</v>
      </c>
      <c r="L23" s="855">
        <v>173.36256780102232</v>
      </c>
      <c r="M23" s="855">
        <v>245.97465326674816</v>
      </c>
      <c r="N23" s="855">
        <v>141.69617490377715</v>
      </c>
      <c r="O23" s="855">
        <v>189.60178357212732</v>
      </c>
      <c r="P23" s="855">
        <v>31.607177794853481</v>
      </c>
      <c r="Q23" s="855">
        <v>163.99784834620806</v>
      </c>
      <c r="R23" s="855">
        <v>193.91911702149574</v>
      </c>
      <c r="S23" s="855">
        <v>35.513756521132017</v>
      </c>
      <c r="T23" s="855">
        <v>134.0107486499675</v>
      </c>
      <c r="U23" s="855">
        <v>167.84910484826884</v>
      </c>
      <c r="V23" s="855">
        <v>52.395337876161605</v>
      </c>
    </row>
    <row r="24" spans="1:45">
      <c r="A24" s="160" t="s">
        <v>561</v>
      </c>
      <c r="B24" s="99"/>
      <c r="C24" s="160"/>
      <c r="D24" s="203"/>
      <c r="E24" s="856">
        <v>223.94302770999997</v>
      </c>
      <c r="F24" s="856">
        <v>389.12158418000001</v>
      </c>
      <c r="G24" s="856">
        <v>613.06461189000004</v>
      </c>
      <c r="H24" s="856">
        <v>207.30171988324037</v>
      </c>
      <c r="I24" s="856">
        <v>420.68809812077006</v>
      </c>
      <c r="J24" s="856">
        <v>627.98981800401043</v>
      </c>
      <c r="K24" s="856">
        <v>182.69412814739735</v>
      </c>
      <c r="L24" s="856">
        <v>237.31295106978681</v>
      </c>
      <c r="M24" s="856">
        <v>420.00707921718413</v>
      </c>
      <c r="N24" s="856">
        <v>198.57959712612524</v>
      </c>
      <c r="O24" s="856">
        <v>346.63509428499395</v>
      </c>
      <c r="P24" s="856">
        <v>131.01114895276001</v>
      </c>
      <c r="Q24" s="856">
        <v>263.13647807800817</v>
      </c>
      <c r="R24" s="856">
        <v>387.15956589421774</v>
      </c>
      <c r="S24" s="856">
        <v>133.17517508880383</v>
      </c>
      <c r="T24" s="856">
        <v>233.44915016505055</v>
      </c>
      <c r="U24" s="856">
        <v>360.34164064953643</v>
      </c>
      <c r="V24" s="856">
        <v>249.01989941370169</v>
      </c>
    </row>
    <row r="25" spans="1:45">
      <c r="A25" s="270" t="s">
        <v>210</v>
      </c>
    </row>
    <row r="26" spans="1:45">
      <c r="A26" s="270" t="s">
        <v>214</v>
      </c>
      <c r="E26" s="205"/>
      <c r="F26" s="205"/>
      <c r="G26" s="205"/>
      <c r="H26" s="205"/>
      <c r="I26" s="205"/>
      <c r="J26" s="205"/>
      <c r="K26" s="205"/>
      <c r="L26" s="205"/>
      <c r="M26" s="205"/>
      <c r="N26" s="205"/>
      <c r="O26" s="205"/>
      <c r="P26" s="205"/>
      <c r="Q26" s="205"/>
      <c r="R26" s="205"/>
      <c r="S26" s="205"/>
      <c r="T26" s="205"/>
      <c r="U26" s="205"/>
      <c r="V26" s="206"/>
    </row>
    <row r="28" spans="1:45">
      <c r="A28" s="40" t="s">
        <v>170</v>
      </c>
    </row>
  </sheetData>
  <mergeCells count="1">
    <mergeCell ref="B8:D9"/>
  </mergeCells>
  <hyperlinks>
    <hyperlink ref="D1" location="Indice!A1" display="Cuadro 2.2 Gasto ambiental de la administración central del gobierno "/>
  </hyperlinks>
  <pageMargins left="0.7" right="0.7" top="0.75" bottom="0.75" header="0.3" footer="0.3"/>
  <pageSetup scale="58" orientation="portrait" r:id="rId1"/>
</worksheet>
</file>

<file path=xl/worksheets/sheet16.xml><?xml version="1.0" encoding="utf-8"?>
<worksheet xmlns="http://schemas.openxmlformats.org/spreadsheetml/2006/main" xmlns:r="http://schemas.openxmlformats.org/officeDocument/2006/relationships">
  <sheetPr>
    <tabColor theme="3" tint="0.39997558519241921"/>
    <pageSetUpPr fitToPage="1"/>
  </sheetPr>
  <dimension ref="A1:AS29"/>
  <sheetViews>
    <sheetView showGridLines="0" topLeftCell="A3" workbookViewId="0">
      <selection activeCell="A3" sqref="A3"/>
    </sheetView>
  </sheetViews>
  <sheetFormatPr baseColWidth="10" defaultRowHeight="12.75"/>
  <cols>
    <col min="1" max="1" width="1.1640625" customWidth="1"/>
    <col min="2" max="2" width="1.5" customWidth="1"/>
    <col min="3" max="3" width="1" customWidth="1"/>
    <col min="4" max="4" width="52.5" customWidth="1"/>
    <col min="5" max="5" width="8.6640625" customWidth="1"/>
    <col min="6" max="6" width="7.1640625" customWidth="1"/>
    <col min="7" max="7" width="6.6640625" customWidth="1"/>
    <col min="8" max="8" width="8.33203125" customWidth="1"/>
    <col min="9" max="9" width="6.83203125" customWidth="1"/>
    <col min="10" max="10" width="6.6640625" customWidth="1"/>
    <col min="11" max="11" width="8.5" customWidth="1"/>
    <col min="12" max="12" width="7.33203125" customWidth="1"/>
    <col min="13" max="13" width="7.1640625" customWidth="1"/>
    <col min="14" max="14" width="8.83203125" customWidth="1"/>
    <col min="15" max="15" width="6.83203125" customWidth="1"/>
    <col min="16" max="16" width="7.5" customWidth="1"/>
    <col min="17" max="17" width="8.33203125" customWidth="1"/>
    <col min="18" max="18" width="6.6640625" customWidth="1"/>
    <col min="19" max="19" width="6.83203125" customWidth="1"/>
    <col min="20" max="20" width="8.6640625" customWidth="1"/>
    <col min="21" max="21" width="7.1640625" customWidth="1"/>
    <col min="22" max="22" width="7" customWidth="1"/>
  </cols>
  <sheetData>
    <row r="1" spans="1:45" s="44" customFormat="1" hidden="1">
      <c r="A1" s="47" t="s">
        <v>302</v>
      </c>
      <c r="E1" s="2"/>
      <c r="F1" s="2"/>
      <c r="G1" s="2"/>
    </row>
    <row r="2" spans="1:45" s="44" customFormat="1" hidden="1"/>
    <row r="3" spans="1:45" s="44" customFormat="1">
      <c r="A3" s="270" t="s">
        <v>656</v>
      </c>
      <c r="D3" s="19" t="s">
        <v>183</v>
      </c>
      <c r="E3" s="18"/>
      <c r="F3" s="18"/>
      <c r="G3" s="18"/>
      <c r="H3" s="18"/>
      <c r="I3" s="18"/>
      <c r="J3" s="18"/>
      <c r="K3" s="18"/>
      <c r="L3" s="18"/>
      <c r="M3" s="18"/>
      <c r="N3" s="18"/>
      <c r="O3" s="18"/>
      <c r="P3" s="18"/>
      <c r="Q3" s="18"/>
      <c r="R3" s="18"/>
      <c r="S3" s="18"/>
      <c r="T3" s="18"/>
      <c r="U3" s="18"/>
      <c r="V3" s="18"/>
    </row>
    <row r="4" spans="1:45" s="44" customFormat="1">
      <c r="D4" s="19" t="s">
        <v>176</v>
      </c>
      <c r="E4" s="18"/>
      <c r="F4" s="18"/>
      <c r="G4" s="18"/>
      <c r="H4" s="18"/>
      <c r="I4" s="18"/>
      <c r="J4" s="18"/>
      <c r="K4" s="18"/>
      <c r="L4" s="18"/>
      <c r="M4" s="18"/>
      <c r="N4" s="18"/>
      <c r="O4" s="18"/>
      <c r="P4" s="18"/>
      <c r="Q4" s="18"/>
      <c r="R4" s="18"/>
      <c r="S4" s="18"/>
      <c r="T4" s="18"/>
      <c r="U4" s="18"/>
      <c r="V4" s="18"/>
    </row>
    <row r="5" spans="1:45" s="44" customFormat="1">
      <c r="D5" s="113" t="s">
        <v>5</v>
      </c>
      <c r="E5" s="18"/>
      <c r="F5" s="18"/>
      <c r="G5" s="18"/>
      <c r="H5" s="18"/>
      <c r="I5" s="18"/>
      <c r="J5" s="18"/>
      <c r="K5" s="18"/>
      <c r="L5" s="18"/>
      <c r="M5" s="18"/>
      <c r="N5" s="18"/>
      <c r="O5" s="18"/>
      <c r="P5" s="18"/>
      <c r="Q5" s="18"/>
      <c r="R5" s="18"/>
      <c r="S5" s="18"/>
      <c r="T5" s="18"/>
      <c r="U5" s="18"/>
      <c r="V5" s="18"/>
    </row>
    <row r="6" spans="1:45" s="44" customFormat="1">
      <c r="D6" s="113" t="s">
        <v>215</v>
      </c>
      <c r="E6" s="18"/>
      <c r="F6" s="18"/>
      <c r="G6" s="18"/>
      <c r="H6" s="18"/>
      <c r="I6" s="18"/>
      <c r="J6" s="18"/>
      <c r="K6" s="18"/>
      <c r="L6" s="18"/>
      <c r="M6" s="18"/>
      <c r="N6" s="18"/>
      <c r="O6" s="18"/>
      <c r="P6" s="18"/>
      <c r="Q6" s="18"/>
      <c r="R6" s="18"/>
      <c r="S6" s="18"/>
      <c r="T6" s="18"/>
      <c r="U6" s="18"/>
      <c r="V6" s="18"/>
    </row>
    <row r="7" spans="1:45" s="44" customFormat="1">
      <c r="D7" s="113" t="s">
        <v>28</v>
      </c>
      <c r="E7" s="18"/>
      <c r="F7" s="18"/>
      <c r="G7" s="18"/>
      <c r="H7" s="18"/>
      <c r="I7" s="18"/>
      <c r="J7" s="18"/>
      <c r="K7" s="18"/>
      <c r="L7" s="18"/>
      <c r="M7" s="18"/>
      <c r="N7" s="18"/>
      <c r="O7" s="18"/>
      <c r="P7" s="18"/>
      <c r="Q7" s="18"/>
      <c r="R7" s="18"/>
      <c r="S7" s="18"/>
      <c r="T7" s="18"/>
      <c r="U7" s="18"/>
      <c r="V7" s="18"/>
    </row>
    <row r="8" spans="1:45" s="44" customFormat="1">
      <c r="E8" s="18"/>
      <c r="F8" s="18"/>
      <c r="G8" s="18"/>
      <c r="H8" s="18"/>
      <c r="I8" s="18"/>
      <c r="J8" s="18"/>
      <c r="K8" s="18"/>
      <c r="L8" s="18"/>
      <c r="M8" s="18"/>
      <c r="N8" s="18"/>
      <c r="O8" s="18"/>
      <c r="P8" s="18"/>
      <c r="Q8" s="18"/>
      <c r="R8" s="18"/>
      <c r="S8" s="18"/>
      <c r="T8" s="18"/>
      <c r="U8" s="18"/>
      <c r="V8" s="18"/>
    </row>
    <row r="9" spans="1:45" s="44" customFormat="1">
      <c r="B9" s="625" t="s">
        <v>153</v>
      </c>
      <c r="C9" s="667"/>
      <c r="D9" s="667"/>
      <c r="E9" s="620">
        <v>2001</v>
      </c>
      <c r="F9" s="620"/>
      <c r="G9" s="620"/>
      <c r="H9" s="622">
        <v>2002</v>
      </c>
      <c r="I9" s="621"/>
      <c r="J9" s="621"/>
      <c r="K9" s="620">
        <v>2003</v>
      </c>
      <c r="L9" s="621"/>
      <c r="M9" s="621"/>
      <c r="N9" s="622">
        <v>2004</v>
      </c>
      <c r="O9" s="622"/>
      <c r="P9" s="622"/>
      <c r="Q9" s="620">
        <v>2005</v>
      </c>
      <c r="R9" s="620"/>
      <c r="S9" s="620"/>
      <c r="T9" s="622">
        <v>2006</v>
      </c>
      <c r="U9" s="622"/>
      <c r="V9" s="622"/>
    </row>
    <row r="10" spans="1:45" s="44" customFormat="1">
      <c r="B10" s="668"/>
      <c r="C10" s="668"/>
      <c r="D10" s="668"/>
      <c r="E10" s="630" t="s">
        <v>205</v>
      </c>
      <c r="F10" s="630" t="s">
        <v>0</v>
      </c>
      <c r="G10" s="630" t="s">
        <v>559</v>
      </c>
      <c r="H10" s="628" t="s">
        <v>205</v>
      </c>
      <c r="I10" s="628" t="s">
        <v>0</v>
      </c>
      <c r="J10" s="628" t="s">
        <v>559</v>
      </c>
      <c r="K10" s="630" t="s">
        <v>205</v>
      </c>
      <c r="L10" s="630" t="s">
        <v>0</v>
      </c>
      <c r="M10" s="630" t="s">
        <v>559</v>
      </c>
      <c r="N10" s="628" t="s">
        <v>205</v>
      </c>
      <c r="O10" s="628" t="s">
        <v>0</v>
      </c>
      <c r="P10" s="628" t="s">
        <v>559</v>
      </c>
      <c r="Q10" s="630" t="s">
        <v>205</v>
      </c>
      <c r="R10" s="630" t="s">
        <v>0</v>
      </c>
      <c r="S10" s="630" t="s">
        <v>559</v>
      </c>
      <c r="T10" s="628" t="s">
        <v>205</v>
      </c>
      <c r="U10" s="628" t="s">
        <v>0</v>
      </c>
      <c r="V10" s="628" t="s">
        <v>559</v>
      </c>
    </row>
    <row r="11" spans="1:45" s="44" customFormat="1">
      <c r="B11" s="29" t="s">
        <v>211</v>
      </c>
      <c r="C11" s="29"/>
      <c r="D11" s="114"/>
    </row>
    <row r="12" spans="1:45" s="44" customFormat="1">
      <c r="D12" s="816" t="s">
        <v>164</v>
      </c>
      <c r="E12" s="851" t="s">
        <v>654</v>
      </c>
      <c r="F12" s="272">
        <f>2850000/1000000</f>
        <v>2.85</v>
      </c>
      <c r="G12" s="272">
        <f>2850000/1000000</f>
        <v>2.85</v>
      </c>
      <c r="H12" s="272">
        <f>4957933.90767217/1000000</f>
        <v>4.95793390767217</v>
      </c>
      <c r="I12" s="851" t="s">
        <v>654</v>
      </c>
      <c r="J12" s="272">
        <f>4957933.90767217/1000000</f>
        <v>4.95793390767217</v>
      </c>
      <c r="K12" s="851" t="s">
        <v>654</v>
      </c>
      <c r="L12" s="851" t="s">
        <v>654</v>
      </c>
      <c r="M12" s="851" t="s">
        <v>654</v>
      </c>
      <c r="N12" s="851" t="s">
        <v>654</v>
      </c>
      <c r="O12" s="272">
        <f>1580698.54271252/1000000</f>
        <v>1.5806985427125202</v>
      </c>
      <c r="P12" s="272">
        <f>1580698.54271252/1000000</f>
        <v>1.5806985427125202</v>
      </c>
      <c r="Q12" s="851" t="s">
        <v>654</v>
      </c>
      <c r="R12" s="272">
        <f>9391753.95600834/1000000</f>
        <v>9.3917539560083387</v>
      </c>
      <c r="S12" s="272">
        <f>9391753.95600834/1000000</f>
        <v>9.3917539560083387</v>
      </c>
      <c r="T12" s="851" t="s">
        <v>654</v>
      </c>
      <c r="U12" s="272">
        <f>4132025.73627251/1000000</f>
        <v>4.1320257362725101</v>
      </c>
      <c r="V12" s="272">
        <f>4132025.73627251/1000000</f>
        <v>4.1320257362725101</v>
      </c>
    </row>
    <row r="13" spans="1:45" s="44" customFormat="1">
      <c r="D13" s="816" t="s">
        <v>161</v>
      </c>
      <c r="E13" s="272">
        <v>1.03725</v>
      </c>
      <c r="F13" s="272">
        <v>8.1555</v>
      </c>
      <c r="G13" s="272">
        <v>9.1927500000000002</v>
      </c>
      <c r="H13" s="272">
        <v>2.1352148266620232</v>
      </c>
      <c r="I13" s="272">
        <v>5.7139729923135523</v>
      </c>
      <c r="J13" s="272">
        <v>7.849187818975575</v>
      </c>
      <c r="K13" s="272">
        <v>1.1140632350967368</v>
      </c>
      <c r="L13" s="272">
        <v>7.050811144991413</v>
      </c>
      <c r="M13" s="272">
        <v>8.1648743800881487</v>
      </c>
      <c r="N13" s="272">
        <v>3.0270174901924539E-2</v>
      </c>
      <c r="O13" s="272">
        <v>8.0330583999903393E-2</v>
      </c>
      <c r="P13" s="272">
        <v>0.11060075890182793</v>
      </c>
      <c r="Q13" s="272">
        <v>0.17423144808998653</v>
      </c>
      <c r="R13" s="272">
        <v>3.6463659772983923</v>
      </c>
      <c r="S13" s="272">
        <v>3.820597425388379</v>
      </c>
      <c r="T13" s="245">
        <v>0.53101948127838949</v>
      </c>
      <c r="U13" s="272">
        <v>0.88776747530539557</v>
      </c>
      <c r="V13" s="272">
        <v>1.418786956583785</v>
      </c>
      <c r="Y13" s="179"/>
      <c r="Z13" s="179"/>
      <c r="AA13" s="179"/>
      <c r="AB13" s="179"/>
      <c r="AC13" s="179"/>
      <c r="AD13" s="179"/>
      <c r="AE13" s="179"/>
      <c r="AF13" s="179"/>
      <c r="AG13" s="179"/>
      <c r="AH13" s="179"/>
      <c r="AI13" s="179"/>
      <c r="AJ13" s="179"/>
      <c r="AK13" s="179"/>
      <c r="AL13" s="179"/>
      <c r="AM13" s="179"/>
      <c r="AN13" s="179"/>
      <c r="AO13" s="179"/>
      <c r="AP13" s="179"/>
      <c r="AQ13" s="179"/>
      <c r="AR13" s="179"/>
      <c r="AS13" s="179"/>
    </row>
    <row r="14" spans="1:45" s="44" customFormat="1" ht="25.5">
      <c r="D14" s="207" t="s">
        <v>8</v>
      </c>
      <c r="E14" s="851" t="s">
        <v>654</v>
      </c>
      <c r="F14" s="851" t="s">
        <v>654</v>
      </c>
      <c r="G14" s="851" t="s">
        <v>654</v>
      </c>
      <c r="H14" s="272">
        <v>1.9046586035168991</v>
      </c>
      <c r="I14" s="851" t="s">
        <v>654</v>
      </c>
      <c r="J14" s="272">
        <v>1.9046586035168991</v>
      </c>
      <c r="K14" s="851" t="s">
        <v>654</v>
      </c>
      <c r="L14" s="851" t="s">
        <v>654</v>
      </c>
      <c r="M14" s="851" t="s">
        <v>654</v>
      </c>
      <c r="N14" s="851" t="s">
        <v>654</v>
      </c>
      <c r="O14" s="851" t="s">
        <v>654</v>
      </c>
      <c r="P14" s="851" t="s">
        <v>654</v>
      </c>
      <c r="Q14" s="851" t="s">
        <v>654</v>
      </c>
      <c r="R14" s="851" t="s">
        <v>654</v>
      </c>
      <c r="S14" s="851" t="s">
        <v>654</v>
      </c>
      <c r="T14" s="851" t="s">
        <v>654</v>
      </c>
      <c r="U14" s="851" t="s">
        <v>654</v>
      </c>
      <c r="V14" s="851" t="s">
        <v>654</v>
      </c>
      <c r="Y14" s="179"/>
      <c r="Z14" s="179"/>
      <c r="AA14" s="179"/>
      <c r="AB14" s="179"/>
      <c r="AC14" s="179"/>
      <c r="AD14" s="179"/>
      <c r="AE14" s="179"/>
      <c r="AF14" s="179"/>
      <c r="AG14" s="179"/>
      <c r="AH14" s="179"/>
      <c r="AI14" s="179"/>
      <c r="AJ14" s="179"/>
      <c r="AK14" s="179"/>
      <c r="AL14" s="179"/>
      <c r="AM14" s="179"/>
      <c r="AN14" s="179"/>
      <c r="AO14" s="179"/>
      <c r="AP14" s="179"/>
      <c r="AQ14" s="179"/>
      <c r="AR14" s="179"/>
      <c r="AS14" s="179"/>
    </row>
    <row r="15" spans="1:45" s="44" customFormat="1">
      <c r="D15" s="207" t="s">
        <v>9</v>
      </c>
      <c r="E15" s="272">
        <v>113.78542546</v>
      </c>
      <c r="F15" s="272">
        <v>38.236674389999997</v>
      </c>
      <c r="G15" s="272">
        <v>152.02209984999999</v>
      </c>
      <c r="H15" s="272">
        <v>88.97008312282972</v>
      </c>
      <c r="I15" s="272">
        <v>86.874217706839318</v>
      </c>
      <c r="J15" s="272">
        <v>175.84430082966904</v>
      </c>
      <c r="K15" s="272">
        <v>63.612209506763534</v>
      </c>
      <c r="L15" s="272">
        <v>60.356553351326902</v>
      </c>
      <c r="M15" s="272">
        <v>123.96876285809044</v>
      </c>
      <c r="N15" s="272">
        <v>62.283117720296644</v>
      </c>
      <c r="O15" s="272">
        <v>43.521400984798291</v>
      </c>
      <c r="P15" s="272">
        <v>105.80451870509494</v>
      </c>
      <c r="Q15" s="272">
        <v>51.932819674467737</v>
      </c>
      <c r="R15" s="272">
        <v>60.51174187807149</v>
      </c>
      <c r="S15" s="272">
        <v>112.44456155253921</v>
      </c>
      <c r="T15" s="245">
        <v>53.449651313111431</v>
      </c>
      <c r="U15" s="272">
        <v>77.390228938480647</v>
      </c>
      <c r="V15" s="272">
        <v>130.83988025159209</v>
      </c>
      <c r="Y15" s="179"/>
      <c r="Z15" s="179"/>
      <c r="AA15" s="179"/>
      <c r="AB15" s="179"/>
      <c r="AC15" s="179"/>
      <c r="AD15" s="179"/>
      <c r="AE15" s="179"/>
      <c r="AF15" s="179"/>
      <c r="AG15" s="179"/>
      <c r="AH15" s="179"/>
      <c r="AI15" s="179"/>
      <c r="AJ15" s="179"/>
      <c r="AK15" s="179"/>
      <c r="AL15" s="179"/>
      <c r="AM15" s="179"/>
      <c r="AN15" s="179"/>
      <c r="AO15" s="179"/>
      <c r="AP15" s="179"/>
      <c r="AQ15" s="179"/>
      <c r="AR15" s="179"/>
      <c r="AS15" s="179"/>
    </row>
    <row r="16" spans="1:45" s="44" customFormat="1">
      <c r="D16" s="207" t="s">
        <v>10</v>
      </c>
      <c r="E16" s="272">
        <v>8.5537790000000005</v>
      </c>
      <c r="F16" s="272">
        <v>0</v>
      </c>
      <c r="G16" s="272">
        <v>8.5537790000000005</v>
      </c>
      <c r="H16" s="272">
        <v>8.1784264945614584</v>
      </c>
      <c r="I16" s="272">
        <v>0</v>
      </c>
      <c r="J16" s="272">
        <v>8.1784264945614584</v>
      </c>
      <c r="K16" s="272">
        <v>7.9733153528071323</v>
      </c>
      <c r="L16" s="272">
        <v>0</v>
      </c>
      <c r="M16" s="272">
        <v>7.9733153528071323</v>
      </c>
      <c r="N16" s="272">
        <v>5.7812045850536631</v>
      </c>
      <c r="O16" s="272">
        <v>0.11289981597682422</v>
      </c>
      <c r="P16" s="272">
        <v>5.8941044010304875</v>
      </c>
      <c r="Q16" s="272">
        <v>5.8024136253990655</v>
      </c>
      <c r="R16" s="272">
        <v>0.12271571458030155</v>
      </c>
      <c r="S16" s="272">
        <v>5.9251293399793665</v>
      </c>
      <c r="T16" s="245">
        <v>7.7850856401683401</v>
      </c>
      <c r="U16" s="272">
        <v>5.3445076761734565E-2</v>
      </c>
      <c r="V16" s="272">
        <v>7.838530716930074</v>
      </c>
      <c r="Y16" s="179"/>
      <c r="Z16" s="179"/>
      <c r="AA16" s="179"/>
      <c r="AB16" s="179"/>
      <c r="AC16" s="179"/>
      <c r="AD16" s="179"/>
      <c r="AE16" s="179"/>
      <c r="AF16" s="179"/>
      <c r="AG16" s="179"/>
      <c r="AH16" s="179"/>
      <c r="AI16" s="179"/>
      <c r="AJ16" s="179"/>
      <c r="AK16" s="179"/>
      <c r="AL16" s="179"/>
      <c r="AM16" s="179"/>
      <c r="AN16" s="179"/>
      <c r="AO16" s="179"/>
      <c r="AP16" s="179"/>
      <c r="AQ16" s="179"/>
      <c r="AR16" s="179"/>
      <c r="AS16" s="179"/>
    </row>
    <row r="17" spans="1:45" s="44" customFormat="1">
      <c r="D17" s="207" t="s">
        <v>11</v>
      </c>
      <c r="E17" s="272">
        <v>54.641855999999997</v>
      </c>
      <c r="F17" s="272">
        <v>34.930453999999997</v>
      </c>
      <c r="G17" s="272">
        <v>89.572310000000002</v>
      </c>
      <c r="H17" s="272">
        <v>52.955282806266567</v>
      </c>
      <c r="I17" s="272">
        <v>8.79724749146005</v>
      </c>
      <c r="J17" s="272">
        <v>61.752530297726622</v>
      </c>
      <c r="K17" s="272">
        <v>37.382454587004098</v>
      </c>
      <c r="L17" s="272">
        <v>3.5938299174375916</v>
      </c>
      <c r="M17" s="272">
        <v>40.976284504441686</v>
      </c>
      <c r="N17" s="272">
        <v>32.055296010266375</v>
      </c>
      <c r="O17" s="272">
        <v>13.168790837573052</v>
      </c>
      <c r="P17" s="272">
        <v>45.22408684783943</v>
      </c>
      <c r="Q17" s="272">
        <v>36.192354392965115</v>
      </c>
      <c r="R17" s="272">
        <v>34.857806161849894</v>
      </c>
      <c r="S17" s="272">
        <v>71.050160554815008</v>
      </c>
      <c r="T17" s="245">
        <v>31.288377851626318</v>
      </c>
      <c r="U17" s="272">
        <v>21.106960024535283</v>
      </c>
      <c r="V17" s="272">
        <v>52.395337876161605</v>
      </c>
      <c r="Y17" s="179"/>
      <c r="Z17" s="179"/>
      <c r="AA17" s="179"/>
      <c r="AB17" s="179"/>
      <c r="AC17" s="179"/>
      <c r="AD17" s="179"/>
      <c r="AE17" s="179"/>
      <c r="AF17" s="179"/>
      <c r="AG17" s="179"/>
      <c r="AH17" s="179"/>
      <c r="AI17" s="179"/>
      <c r="AJ17" s="179"/>
      <c r="AK17" s="179"/>
      <c r="AL17" s="179"/>
      <c r="AM17" s="179"/>
      <c r="AN17" s="179"/>
      <c r="AO17" s="179"/>
      <c r="AP17" s="179"/>
      <c r="AQ17" s="179"/>
      <c r="AR17" s="179"/>
      <c r="AS17" s="179"/>
    </row>
    <row r="18" spans="1:45" s="97" customFormat="1">
      <c r="B18" s="29"/>
      <c r="C18" s="29" t="s">
        <v>556</v>
      </c>
      <c r="D18" s="114"/>
      <c r="E18" s="273">
        <v>178.01831045999998</v>
      </c>
      <c r="F18" s="273">
        <v>84.17262839</v>
      </c>
      <c r="G18" s="273">
        <v>262.19093885000001</v>
      </c>
      <c r="H18" s="273">
        <v>159.10159976150885</v>
      </c>
      <c r="I18" s="273">
        <v>101.38543819061293</v>
      </c>
      <c r="J18" s="273">
        <v>260.48703795212174</v>
      </c>
      <c r="K18" s="273">
        <v>110.0820426816715</v>
      </c>
      <c r="L18" s="273">
        <v>71.001194413755911</v>
      </c>
      <c r="M18" s="273">
        <v>181.08323709542742</v>
      </c>
      <c r="N18" s="273">
        <v>100.14988849051862</v>
      </c>
      <c r="O18" s="273">
        <v>58.464120765060578</v>
      </c>
      <c r="P18" s="273">
        <v>158.61400925557916</v>
      </c>
      <c r="Q18" s="273">
        <v>94.101819140921904</v>
      </c>
      <c r="R18" s="273">
        <v>108.53038368780841</v>
      </c>
      <c r="S18" s="273">
        <v>202.63220282873027</v>
      </c>
      <c r="T18" s="272">
        <v>93.054134286184478</v>
      </c>
      <c r="U18" s="273">
        <v>103.57042725135558</v>
      </c>
      <c r="V18" s="273">
        <v>196.62456153754007</v>
      </c>
      <c r="Y18" s="179"/>
      <c r="Z18" s="179"/>
      <c r="AA18" s="179"/>
      <c r="AB18" s="179"/>
      <c r="AC18" s="179"/>
      <c r="AD18" s="179"/>
      <c r="AE18" s="179"/>
      <c r="AF18" s="179"/>
      <c r="AG18" s="179"/>
      <c r="AH18" s="179"/>
      <c r="AI18" s="179"/>
      <c r="AJ18" s="179"/>
      <c r="AK18" s="179"/>
      <c r="AL18" s="179"/>
      <c r="AM18" s="179"/>
      <c r="AN18" s="179"/>
      <c r="AO18" s="179"/>
      <c r="AP18" s="179"/>
      <c r="AQ18" s="179"/>
      <c r="AR18" s="179"/>
      <c r="AS18" s="179"/>
    </row>
    <row r="19" spans="1:45" s="97" customFormat="1">
      <c r="B19" s="29" t="s">
        <v>212</v>
      </c>
      <c r="C19" s="29"/>
      <c r="D19" s="114"/>
      <c r="E19" s="272"/>
      <c r="F19" s="272"/>
      <c r="G19" s="272"/>
      <c r="H19" s="272"/>
      <c r="I19" s="272"/>
      <c r="J19" s="272"/>
      <c r="K19" s="272"/>
      <c r="L19" s="272"/>
      <c r="M19" s="272"/>
      <c r="N19" s="272"/>
      <c r="O19" s="272"/>
      <c r="P19" s="272"/>
      <c r="Q19" s="272"/>
      <c r="R19" s="272"/>
      <c r="S19" s="272"/>
      <c r="T19" s="272"/>
      <c r="U19" s="272"/>
      <c r="V19" s="272"/>
      <c r="Y19" s="179"/>
      <c r="Z19" s="179"/>
      <c r="AA19" s="179"/>
      <c r="AB19" s="179"/>
      <c r="AC19" s="179"/>
      <c r="AD19" s="179"/>
      <c r="AE19" s="179"/>
      <c r="AF19" s="179"/>
      <c r="AG19" s="179"/>
      <c r="AH19" s="179"/>
      <c r="AI19" s="179"/>
      <c r="AJ19" s="179"/>
      <c r="AK19" s="179"/>
      <c r="AL19" s="179"/>
      <c r="AM19" s="179"/>
      <c r="AN19" s="179"/>
      <c r="AO19" s="179"/>
      <c r="AP19" s="179"/>
      <c r="AQ19" s="179"/>
      <c r="AR19" s="179"/>
      <c r="AS19" s="179"/>
    </row>
    <row r="20" spans="1:45" s="97" customFormat="1">
      <c r="D20" s="207" t="s">
        <v>12</v>
      </c>
      <c r="E20" s="272">
        <v>17.015391000000001</v>
      </c>
      <c r="F20" s="851" t="s">
        <v>654</v>
      </c>
      <c r="G20" s="272">
        <v>17.015391000000001</v>
      </c>
      <c r="H20" s="272">
        <v>15.750553419857507</v>
      </c>
      <c r="I20" s="851" t="s">
        <v>654</v>
      </c>
      <c r="J20" s="272">
        <v>15.750553419857507</v>
      </c>
      <c r="K20" s="272">
        <v>11.831350135773059</v>
      </c>
      <c r="L20" s="851" t="s">
        <v>654</v>
      </c>
      <c r="M20" s="272">
        <v>11.831350135773059</v>
      </c>
      <c r="N20" s="272">
        <v>2.8893491905244852</v>
      </c>
      <c r="O20" s="851" t="s">
        <v>654</v>
      </c>
      <c r="P20" s="272">
        <v>2.8893491905244852</v>
      </c>
      <c r="Q20" s="272">
        <v>2.3123772818226063</v>
      </c>
      <c r="R20" s="272">
        <v>4.8662888524418121E-2</v>
      </c>
      <c r="S20" s="272">
        <v>2.3610401703470245</v>
      </c>
      <c r="T20" s="272">
        <v>1.3314841383762193</v>
      </c>
      <c r="U20" s="272">
        <v>3.3648159297263058E-2</v>
      </c>
      <c r="V20" s="272">
        <v>1.3651322976734823</v>
      </c>
      <c r="Y20" s="179"/>
      <c r="Z20" s="179"/>
      <c r="AA20" s="179"/>
      <c r="AB20" s="179"/>
      <c r="AC20" s="179"/>
      <c r="AD20" s="179"/>
      <c r="AE20" s="179"/>
      <c r="AF20" s="179"/>
      <c r="AG20" s="179"/>
      <c r="AH20" s="179"/>
      <c r="AI20" s="179"/>
      <c r="AJ20" s="179"/>
      <c r="AK20" s="179"/>
      <c r="AL20" s="179"/>
      <c r="AM20" s="179"/>
      <c r="AN20" s="179"/>
      <c r="AO20" s="179"/>
      <c r="AP20" s="179"/>
      <c r="AQ20" s="179"/>
      <c r="AR20" s="179"/>
      <c r="AS20" s="179"/>
    </row>
    <row r="21" spans="1:45" s="97" customFormat="1">
      <c r="D21" s="207" t="s">
        <v>13</v>
      </c>
      <c r="E21" s="272">
        <v>8.2819500000000001</v>
      </c>
      <c r="F21" s="272">
        <v>264.50952999999998</v>
      </c>
      <c r="G21" s="272">
        <v>272.79147999999998</v>
      </c>
      <c r="H21" s="272">
        <v>6.6037637330099415</v>
      </c>
      <c r="I21" s="272">
        <v>189.94056631208235</v>
      </c>
      <c r="J21" s="272">
        <v>196.54433004509229</v>
      </c>
      <c r="K21" s="272">
        <v>34.916491846023504</v>
      </c>
      <c r="L21" s="272">
        <v>61.777994944580136</v>
      </c>
      <c r="M21" s="272">
        <v>96.694486790603634</v>
      </c>
      <c r="N21" s="272">
        <v>5.9741063206061851</v>
      </c>
      <c r="O21" s="272">
        <v>47.90474654950107</v>
      </c>
      <c r="P21" s="272">
        <v>53.878852870107259</v>
      </c>
      <c r="Q21" s="272">
        <v>6.9906355324544638</v>
      </c>
      <c r="R21" s="272">
        <v>90.548027800901082</v>
      </c>
      <c r="S21" s="272">
        <v>97.538663333355544</v>
      </c>
      <c r="T21" s="272">
        <v>7.1709050849629756</v>
      </c>
      <c r="U21" s="272">
        <v>36.122929518938349</v>
      </c>
      <c r="V21" s="272">
        <v>43.293834603901324</v>
      </c>
      <c r="Y21" s="179"/>
      <c r="Z21" s="179"/>
      <c r="AA21" s="179"/>
      <c r="AB21" s="179"/>
      <c r="AC21" s="179"/>
      <c r="AD21" s="179"/>
      <c r="AE21" s="179"/>
      <c r="AF21" s="179"/>
      <c r="AG21" s="179"/>
      <c r="AH21" s="179"/>
      <c r="AI21" s="179"/>
      <c r="AJ21" s="179"/>
      <c r="AK21" s="179"/>
      <c r="AL21" s="179"/>
      <c r="AM21" s="179"/>
      <c r="AN21" s="179"/>
      <c r="AO21" s="179"/>
      <c r="AP21" s="179"/>
      <c r="AQ21" s="179"/>
      <c r="AR21" s="179"/>
      <c r="AS21" s="179"/>
    </row>
    <row r="22" spans="1:45" s="97" customFormat="1">
      <c r="D22" s="207" t="s">
        <v>14</v>
      </c>
      <c r="E22" s="272">
        <v>13.605354249999998</v>
      </c>
      <c r="F22" s="272">
        <v>43.289425789999996</v>
      </c>
      <c r="G22" s="272">
        <v>56.894780040000001</v>
      </c>
      <c r="H22" s="272">
        <v>30.803736876536245</v>
      </c>
      <c r="I22" s="272">
        <v>129.36209361807474</v>
      </c>
      <c r="J22" s="272">
        <v>160.16583049461099</v>
      </c>
      <c r="K22" s="272">
        <v>20.468214546435849</v>
      </c>
      <c r="L22" s="272">
        <v>111.58457285644219</v>
      </c>
      <c r="M22" s="272">
        <v>132.05278740287804</v>
      </c>
      <c r="N22" s="272">
        <v>36.656536592675565</v>
      </c>
      <c r="O22" s="272">
        <v>93.791428354276107</v>
      </c>
      <c r="P22" s="272">
        <v>130.44796494695169</v>
      </c>
      <c r="Q22" s="272">
        <v>18.493764248546253</v>
      </c>
      <c r="R22" s="272">
        <v>106.30751782140098</v>
      </c>
      <c r="S22" s="272">
        <v>124.80128206994723</v>
      </c>
      <c r="T22" s="272">
        <v>22.25332715507157</v>
      </c>
      <c r="U22" s="272">
        <v>114.98954336952693</v>
      </c>
      <c r="V22" s="272">
        <v>137.24287052459852</v>
      </c>
      <c r="Y22" s="179"/>
      <c r="Z22" s="179"/>
      <c r="AA22" s="179"/>
      <c r="AB22" s="179"/>
      <c r="AC22" s="179"/>
      <c r="AD22" s="179"/>
      <c r="AE22" s="179"/>
      <c r="AF22" s="179"/>
      <c r="AG22" s="179"/>
      <c r="AH22" s="179"/>
      <c r="AI22" s="179"/>
      <c r="AJ22" s="179"/>
      <c r="AK22" s="179"/>
      <c r="AL22" s="179"/>
      <c r="AM22" s="179"/>
      <c r="AN22" s="179"/>
      <c r="AO22" s="179"/>
      <c r="AP22" s="179"/>
      <c r="AQ22" s="179"/>
      <c r="AR22" s="179"/>
      <c r="AS22" s="179"/>
    </row>
    <row r="23" spans="1:45" s="97" customFormat="1">
      <c r="D23" s="207" t="s">
        <v>15</v>
      </c>
      <c r="E23" s="272">
        <v>7.0220219999999998</v>
      </c>
      <c r="F23" s="851" t="s">
        <v>654</v>
      </c>
      <c r="G23" s="272">
        <v>7.0220219999999998</v>
      </c>
      <c r="H23" s="851" t="s">
        <v>654</v>
      </c>
      <c r="I23" s="851" t="s">
        <v>654</v>
      </c>
      <c r="J23" s="851" t="s">
        <v>654</v>
      </c>
      <c r="K23" s="272">
        <v>5.396028937493428</v>
      </c>
      <c r="L23" s="851" t="s">
        <v>654</v>
      </c>
      <c r="M23" s="272">
        <v>5.396028937493428</v>
      </c>
      <c r="N23" s="272">
        <v>2.3856165645439171</v>
      </c>
      <c r="O23" s="851" t="s">
        <v>654</v>
      </c>
      <c r="P23" s="272">
        <v>2.3856165645439171</v>
      </c>
      <c r="Q23" s="272">
        <v>2.1244916124643227</v>
      </c>
      <c r="R23" s="851" t="s">
        <v>654</v>
      </c>
      <c r="S23" s="272">
        <v>2.1244916124643227</v>
      </c>
      <c r="T23" s="272">
        <v>3.0826398198905673</v>
      </c>
      <c r="U23" s="851" t="s">
        <v>654</v>
      </c>
      <c r="V23" s="272">
        <v>3.0826398198905673</v>
      </c>
      <c r="Y23" s="179"/>
      <c r="Z23" s="179"/>
      <c r="AA23" s="179"/>
      <c r="AB23" s="179"/>
      <c r="AC23" s="179"/>
      <c r="AD23" s="179"/>
      <c r="AE23" s="179"/>
      <c r="AF23" s="179"/>
      <c r="AG23" s="179"/>
      <c r="AH23" s="179"/>
      <c r="AI23" s="179"/>
      <c r="AJ23" s="179"/>
      <c r="AK23" s="179"/>
      <c r="AL23" s="179"/>
      <c r="AM23" s="179"/>
      <c r="AN23" s="179"/>
      <c r="AO23" s="179"/>
      <c r="AP23" s="179"/>
      <c r="AQ23" s="179"/>
      <c r="AR23" s="179"/>
      <c r="AS23" s="179"/>
    </row>
    <row r="24" spans="1:45" s="97" customFormat="1">
      <c r="B24" s="29"/>
      <c r="C24" s="29" t="s">
        <v>557</v>
      </c>
      <c r="D24" s="114"/>
      <c r="E24" s="273">
        <v>45.92471725</v>
      </c>
      <c r="F24" s="273">
        <v>307.79895579000004</v>
      </c>
      <c r="G24" s="273">
        <v>353.72367303999999</v>
      </c>
      <c r="H24" s="273">
        <v>53.158054029403694</v>
      </c>
      <c r="I24" s="273">
        <v>319.30265993015712</v>
      </c>
      <c r="J24" s="273">
        <v>372.46071395956079</v>
      </c>
      <c r="K24" s="273">
        <v>72.612085465725841</v>
      </c>
      <c r="L24" s="273">
        <v>173.36256780102232</v>
      </c>
      <c r="M24" s="273">
        <v>245.97465326674816</v>
      </c>
      <c r="N24" s="273">
        <v>47.905608668350155</v>
      </c>
      <c r="O24" s="273">
        <v>141.69617490377715</v>
      </c>
      <c r="P24" s="273">
        <v>189.60178357212732</v>
      </c>
      <c r="Q24" s="273">
        <v>29.921268675287649</v>
      </c>
      <c r="R24" s="273">
        <v>196.90420851082646</v>
      </c>
      <c r="S24" s="273">
        <v>226.82547718611411</v>
      </c>
      <c r="T24" s="273">
        <v>33.838356198301334</v>
      </c>
      <c r="U24" s="273">
        <v>151.14612104776253</v>
      </c>
      <c r="V24" s="273">
        <v>184.98447724606385</v>
      </c>
      <c r="Y24" s="179"/>
      <c r="Z24" s="179"/>
      <c r="AA24" s="179"/>
      <c r="AB24" s="179"/>
      <c r="AC24" s="179"/>
      <c r="AD24" s="179"/>
      <c r="AE24" s="179"/>
      <c r="AF24" s="179"/>
      <c r="AG24" s="179"/>
      <c r="AH24" s="179"/>
      <c r="AI24" s="179"/>
      <c r="AJ24" s="179"/>
      <c r="AK24" s="179"/>
      <c r="AL24" s="179"/>
      <c r="AM24" s="179"/>
      <c r="AN24" s="179"/>
      <c r="AO24" s="179"/>
      <c r="AP24" s="179"/>
      <c r="AQ24" s="179"/>
      <c r="AR24" s="179"/>
      <c r="AS24" s="179"/>
    </row>
    <row r="25" spans="1:45" s="44" customFormat="1">
      <c r="A25" s="139" t="s">
        <v>560</v>
      </c>
      <c r="C25" s="139"/>
      <c r="D25" s="208"/>
      <c r="E25" s="274">
        <v>223.94302770999997</v>
      </c>
      <c r="F25" s="274">
        <v>391.97158417999998</v>
      </c>
      <c r="G25" s="274">
        <v>615.91461188999995</v>
      </c>
      <c r="H25" s="274">
        <v>212.25965379091255</v>
      </c>
      <c r="I25" s="274">
        <v>420.68809812076995</v>
      </c>
      <c r="J25" s="274">
        <v>632.94775191168264</v>
      </c>
      <c r="K25" s="274">
        <v>182.69412814739735</v>
      </c>
      <c r="L25" s="274">
        <v>244.36376221477826</v>
      </c>
      <c r="M25" s="274">
        <v>427.05789036217556</v>
      </c>
      <c r="N25" s="274">
        <v>148.05549715886875</v>
      </c>
      <c r="O25" s="274">
        <v>200.16029566883773</v>
      </c>
      <c r="P25" s="274">
        <v>348.21579282770654</v>
      </c>
      <c r="Q25" s="274">
        <v>124.02308781620955</v>
      </c>
      <c r="R25" s="274">
        <v>305.4345921986349</v>
      </c>
      <c r="S25" s="274">
        <v>429.45768001484441</v>
      </c>
      <c r="T25" s="274">
        <v>126.89249048448582</v>
      </c>
      <c r="U25" s="274">
        <v>254.7165482991181</v>
      </c>
      <c r="V25" s="274">
        <v>381.60903878360398</v>
      </c>
      <c r="Y25" s="179"/>
      <c r="Z25" s="179"/>
      <c r="AA25" s="179"/>
      <c r="AB25" s="179"/>
      <c r="AC25" s="179"/>
      <c r="AD25" s="179"/>
      <c r="AE25" s="179"/>
      <c r="AF25" s="179"/>
      <c r="AG25" s="179"/>
      <c r="AH25" s="179"/>
      <c r="AI25" s="179"/>
      <c r="AJ25" s="179"/>
      <c r="AK25" s="179"/>
      <c r="AL25" s="179"/>
      <c r="AM25" s="179"/>
      <c r="AN25" s="179"/>
      <c r="AO25" s="179"/>
      <c r="AP25" s="179"/>
      <c r="AQ25" s="179"/>
      <c r="AR25" s="179"/>
      <c r="AS25" s="179"/>
    </row>
    <row r="26" spans="1:45" s="44" customFormat="1">
      <c r="A26" s="270" t="s">
        <v>219</v>
      </c>
      <c r="S26" s="179"/>
    </row>
    <row r="27" spans="1:45">
      <c r="A27" s="270" t="s">
        <v>214</v>
      </c>
    </row>
    <row r="29" spans="1:45">
      <c r="A29" s="40" t="s">
        <v>170</v>
      </c>
    </row>
  </sheetData>
  <mergeCells count="7">
    <mergeCell ref="B9:D10"/>
    <mergeCell ref="N9:P9"/>
    <mergeCell ref="Q9:S9"/>
    <mergeCell ref="T9:V9"/>
    <mergeCell ref="K9:M9"/>
    <mergeCell ref="H9:J9"/>
    <mergeCell ref="E9:G9"/>
  </mergeCells>
  <hyperlinks>
    <hyperlink ref="A1" location="Indice!A1" display="Cuadro 12 Gasto ambiental de la administración central del Gobierno de Guatemala por clasificacones CAPA y CGRN"/>
  </hyperlinks>
  <pageMargins left="0.7" right="0.7" top="0.75" bottom="0.75" header="0.3" footer="0.3"/>
  <pageSetup scale="58" orientation="portrait" r:id="rId1"/>
</worksheet>
</file>

<file path=xl/worksheets/sheet17.xml><?xml version="1.0" encoding="utf-8"?>
<worksheet xmlns="http://schemas.openxmlformats.org/spreadsheetml/2006/main" xmlns:r="http://schemas.openxmlformats.org/officeDocument/2006/relationships">
  <sheetPr>
    <tabColor theme="3" tint="0.39997558519241921"/>
    <pageSetUpPr fitToPage="1"/>
  </sheetPr>
  <dimension ref="A1:X32"/>
  <sheetViews>
    <sheetView showGridLines="0" topLeftCell="A3" workbookViewId="0">
      <selection activeCell="A3" sqref="A3"/>
    </sheetView>
  </sheetViews>
  <sheetFormatPr baseColWidth="10" defaultRowHeight="12.75"/>
  <cols>
    <col min="1" max="2" width="1.83203125" style="44" customWidth="1"/>
    <col min="3" max="3" width="49.5" style="44" customWidth="1"/>
    <col min="4" max="4" width="8.6640625" style="44" customWidth="1"/>
    <col min="5" max="5" width="9.5" style="44" customWidth="1"/>
    <col min="6" max="7" width="8.5" style="44" customWidth="1"/>
    <col min="8" max="8" width="6.83203125" style="44" customWidth="1"/>
    <col min="9" max="9" width="7.33203125" style="44" customWidth="1"/>
    <col min="10" max="10" width="9" style="44" customWidth="1"/>
    <col min="11" max="11" width="8" style="44" customWidth="1"/>
    <col min="12" max="12" width="8.1640625" style="44" customWidth="1"/>
    <col min="13" max="14" width="12" style="44"/>
    <col min="15" max="15" width="15" style="44" bestFit="1" customWidth="1"/>
    <col min="16" max="16384" width="12" style="44"/>
  </cols>
  <sheetData>
    <row r="1" spans="1:24" ht="12.75" hidden="1" customHeight="1">
      <c r="C1" s="544" t="s">
        <v>303</v>
      </c>
      <c r="D1" s="544"/>
      <c r="E1" s="544"/>
      <c r="F1" s="544"/>
    </row>
    <row r="2" spans="1:24" hidden="1">
      <c r="D2" s="18"/>
      <c r="E2" s="18"/>
      <c r="F2" s="18"/>
      <c r="G2" s="18"/>
      <c r="H2" s="18"/>
      <c r="I2" s="18"/>
      <c r="J2" s="18"/>
      <c r="K2" s="18"/>
      <c r="L2" s="18"/>
    </row>
    <row r="3" spans="1:24">
      <c r="A3" s="270" t="s">
        <v>656</v>
      </c>
      <c r="C3" s="19" t="s">
        <v>184</v>
      </c>
      <c r="D3" s="18"/>
      <c r="E3" s="18"/>
      <c r="F3" s="18"/>
      <c r="G3" s="18"/>
      <c r="H3" s="18"/>
      <c r="I3" s="18"/>
      <c r="J3" s="18"/>
      <c r="K3" s="18"/>
      <c r="L3" s="18"/>
    </row>
    <row r="4" spans="1:24">
      <c r="A4" s="545" t="s">
        <v>256</v>
      </c>
      <c r="B4" s="545"/>
      <c r="C4" s="545"/>
      <c r="D4" s="545"/>
      <c r="E4" s="545"/>
      <c r="F4" s="545"/>
      <c r="G4" s="545"/>
      <c r="H4" s="545"/>
      <c r="I4" s="545"/>
      <c r="J4" s="545"/>
      <c r="K4" s="545"/>
      <c r="L4" s="545"/>
    </row>
    <row r="5" spans="1:24">
      <c r="A5" s="545"/>
      <c r="B5" s="545"/>
      <c r="C5" s="545"/>
      <c r="D5" s="545"/>
      <c r="E5" s="545"/>
      <c r="F5" s="545"/>
      <c r="G5" s="545"/>
      <c r="H5" s="545"/>
      <c r="I5" s="545"/>
      <c r="J5" s="545"/>
      <c r="K5" s="545"/>
      <c r="L5" s="545"/>
    </row>
    <row r="6" spans="1:24" ht="13.5" customHeight="1">
      <c r="A6" s="546" t="s">
        <v>16</v>
      </c>
      <c r="B6" s="546"/>
      <c r="C6" s="546"/>
      <c r="D6" s="546"/>
      <c r="E6" s="546"/>
      <c r="F6" s="546"/>
      <c r="G6" s="546"/>
      <c r="H6" s="546"/>
      <c r="I6" s="546"/>
      <c r="J6" s="546"/>
      <c r="K6" s="546"/>
      <c r="L6" s="546"/>
    </row>
    <row r="7" spans="1:24" ht="12.75" customHeight="1">
      <c r="A7" s="546" t="s">
        <v>225</v>
      </c>
      <c r="B7" s="546"/>
      <c r="C7" s="546"/>
      <c r="D7" s="546"/>
      <c r="E7" s="546"/>
      <c r="F7" s="546"/>
      <c r="G7" s="546"/>
      <c r="H7" s="546"/>
      <c r="I7" s="546"/>
      <c r="J7" s="546"/>
      <c r="K7" s="546"/>
      <c r="L7" s="546"/>
    </row>
    <row r="8" spans="1:24" ht="12.75" customHeight="1">
      <c r="A8" s="675" t="s">
        <v>29</v>
      </c>
      <c r="B8" s="675"/>
      <c r="C8" s="675"/>
      <c r="D8" s="675"/>
      <c r="E8" s="675"/>
      <c r="F8" s="675"/>
      <c r="G8" s="675"/>
      <c r="H8" s="675"/>
      <c r="I8" s="675"/>
      <c r="J8" s="675"/>
      <c r="K8" s="675"/>
      <c r="L8" s="675"/>
    </row>
    <row r="10" spans="1:24">
      <c r="A10" s="625" t="s">
        <v>555</v>
      </c>
      <c r="B10" s="625"/>
      <c r="C10" s="625"/>
      <c r="D10" s="615" t="s">
        <v>220</v>
      </c>
      <c r="E10" s="615"/>
      <c r="F10" s="615"/>
      <c r="G10" s="600" t="s">
        <v>151</v>
      </c>
      <c r="H10" s="649"/>
      <c r="I10" s="649"/>
      <c r="J10" s="677" t="s">
        <v>152</v>
      </c>
      <c r="K10" s="678"/>
      <c r="L10" s="678"/>
    </row>
    <row r="11" spans="1:24">
      <c r="A11" s="670"/>
      <c r="B11" s="670"/>
      <c r="C11" s="670"/>
      <c r="D11" s="616"/>
      <c r="E11" s="616"/>
      <c r="F11" s="616"/>
      <c r="G11" s="650"/>
      <c r="H11" s="650"/>
      <c r="I11" s="650"/>
      <c r="J11" s="679"/>
      <c r="K11" s="679"/>
      <c r="L11" s="679"/>
    </row>
    <row r="12" spans="1:24">
      <c r="A12" s="626"/>
      <c r="B12" s="626"/>
      <c r="C12" s="626"/>
      <c r="D12" s="673" t="s">
        <v>205</v>
      </c>
      <c r="E12" s="673" t="s">
        <v>0</v>
      </c>
      <c r="F12" s="674" t="s">
        <v>6</v>
      </c>
      <c r="G12" s="671" t="s">
        <v>205</v>
      </c>
      <c r="H12" s="671" t="s">
        <v>0</v>
      </c>
      <c r="I12" s="672" t="s">
        <v>6</v>
      </c>
      <c r="J12" s="673" t="s">
        <v>205</v>
      </c>
      <c r="K12" s="673" t="s">
        <v>0</v>
      </c>
      <c r="L12" s="674" t="s">
        <v>6</v>
      </c>
      <c r="N12" s="179"/>
      <c r="O12" s="179"/>
      <c r="P12" s="179"/>
      <c r="Q12" s="179"/>
      <c r="R12" s="179"/>
    </row>
    <row r="13" spans="1:24">
      <c r="A13" s="175" t="s">
        <v>211</v>
      </c>
      <c r="B13" s="175"/>
      <c r="C13" s="176"/>
      <c r="D13" s="153"/>
      <c r="E13" s="153"/>
      <c r="F13" s="153"/>
      <c r="G13" s="153"/>
      <c r="H13" s="153"/>
      <c r="I13" s="153"/>
      <c r="J13" s="153"/>
      <c r="K13" s="153"/>
      <c r="L13" s="153"/>
      <c r="N13" s="179"/>
      <c r="O13" s="179"/>
      <c r="P13" s="179"/>
      <c r="Q13" s="179"/>
      <c r="R13" s="179"/>
      <c r="S13" s="179"/>
      <c r="T13" s="179"/>
      <c r="U13" s="179"/>
      <c r="V13" s="179"/>
      <c r="W13" s="179"/>
      <c r="X13" s="179"/>
    </row>
    <row r="14" spans="1:24">
      <c r="A14" s="97"/>
      <c r="B14" s="97"/>
      <c r="C14" s="812" t="s">
        <v>585</v>
      </c>
      <c r="D14" s="850" t="s">
        <v>654</v>
      </c>
      <c r="E14" s="850" t="s">
        <v>654</v>
      </c>
      <c r="F14" s="850" t="s">
        <v>654</v>
      </c>
      <c r="G14" s="178">
        <f>1268545.8608/1000000</f>
        <v>1.2685458608</v>
      </c>
      <c r="H14" s="178">
        <v>2.9421007791999996</v>
      </c>
      <c r="I14" s="178">
        <v>4.2106466400000002</v>
      </c>
      <c r="J14" s="178">
        <v>1.2685458608000004</v>
      </c>
      <c r="K14" s="178">
        <v>2.9421007791999996</v>
      </c>
      <c r="L14" s="178">
        <v>4.2106466400000002</v>
      </c>
      <c r="N14" s="179"/>
      <c r="O14" s="179"/>
      <c r="P14" s="179"/>
      <c r="Q14" s="179"/>
      <c r="R14" s="179"/>
      <c r="S14" s="179"/>
      <c r="T14" s="179"/>
      <c r="U14" s="179"/>
      <c r="V14" s="179"/>
      <c r="W14" s="179"/>
      <c r="X14" s="179"/>
    </row>
    <row r="15" spans="1:24">
      <c r="A15" s="97"/>
      <c r="B15" s="97"/>
      <c r="C15" s="177" t="s">
        <v>7</v>
      </c>
      <c r="D15" s="178">
        <v>0.69438738</v>
      </c>
      <c r="E15" s="178">
        <v>1.1608887299999999</v>
      </c>
      <c r="F15" s="178">
        <v>1.8552761099999999</v>
      </c>
      <c r="G15" s="178">
        <v>29.900308560000013</v>
      </c>
      <c r="H15" s="178">
        <v>5.54996884</v>
      </c>
      <c r="I15" s="178">
        <v>35.450277400000012</v>
      </c>
      <c r="J15" s="178">
        <v>30.594695940000012</v>
      </c>
      <c r="K15" s="178">
        <v>6.7108575699999999</v>
      </c>
      <c r="L15" s="178">
        <v>37.30555351000001</v>
      </c>
      <c r="N15" s="179"/>
      <c r="O15" s="179"/>
      <c r="P15" s="179"/>
      <c r="Q15" s="179"/>
      <c r="R15" s="179"/>
      <c r="S15" s="179"/>
      <c r="T15" s="179"/>
      <c r="U15" s="179"/>
      <c r="V15" s="179"/>
      <c r="W15" s="179"/>
      <c r="X15" s="179"/>
    </row>
    <row r="16" spans="1:24">
      <c r="A16" s="97"/>
      <c r="B16" s="97"/>
      <c r="C16" s="177" t="s">
        <v>9</v>
      </c>
      <c r="D16" s="178">
        <v>69.893411909999998</v>
      </c>
      <c r="E16" s="178">
        <v>101.19929721</v>
      </c>
      <c r="F16" s="178">
        <v>171.09270911999999</v>
      </c>
      <c r="G16" s="178">
        <v>5.2564636299999998</v>
      </c>
      <c r="H16" s="178">
        <v>9.9164009999999997E-2</v>
      </c>
      <c r="I16" s="178">
        <v>5.3556276399999998</v>
      </c>
      <c r="J16" s="178">
        <v>75.149875539999996</v>
      </c>
      <c r="K16" s="178">
        <v>101.29846121999999</v>
      </c>
      <c r="L16" s="178">
        <v>176.44833675999999</v>
      </c>
      <c r="N16" s="179"/>
      <c r="O16" s="179"/>
      <c r="P16" s="179"/>
      <c r="Q16" s="179"/>
      <c r="R16" s="179"/>
      <c r="S16" s="179"/>
      <c r="T16" s="179"/>
      <c r="U16" s="179"/>
      <c r="V16" s="179"/>
      <c r="W16" s="179"/>
      <c r="X16" s="179"/>
    </row>
    <row r="17" spans="1:24">
      <c r="A17" s="97"/>
      <c r="B17" s="97"/>
      <c r="C17" s="177" t="s">
        <v>10</v>
      </c>
      <c r="D17" s="178">
        <v>10.180163650000001</v>
      </c>
      <c r="E17" s="178">
        <v>6.9887429999999987E-2</v>
      </c>
      <c r="F17" s="178">
        <v>10.25005108</v>
      </c>
      <c r="G17" s="850" t="s">
        <v>654</v>
      </c>
      <c r="H17" s="850" t="s">
        <v>654</v>
      </c>
      <c r="I17" s="850" t="s">
        <v>654</v>
      </c>
      <c r="J17" s="178">
        <v>10.180163650000001</v>
      </c>
      <c r="K17" s="178">
        <v>6.9887429999999987E-2</v>
      </c>
      <c r="L17" s="178">
        <v>10.25005108</v>
      </c>
      <c r="N17" s="179"/>
      <c r="O17" s="179"/>
      <c r="P17" s="179"/>
      <c r="Q17" s="179"/>
      <c r="R17" s="179"/>
      <c r="S17" s="179"/>
      <c r="T17" s="179"/>
      <c r="U17" s="179"/>
      <c r="V17" s="179"/>
      <c r="W17" s="179"/>
      <c r="X17" s="179"/>
    </row>
    <row r="18" spans="1:24">
      <c r="A18" s="97"/>
      <c r="B18" s="97"/>
      <c r="C18" s="177" t="s">
        <v>11</v>
      </c>
      <c r="D18" s="178">
        <v>40.91423288</v>
      </c>
      <c r="E18" s="178">
        <v>27.600506550000002</v>
      </c>
      <c r="F18" s="178">
        <v>68.514739430000006</v>
      </c>
      <c r="G18" s="178">
        <v>3.76576807</v>
      </c>
      <c r="H18" s="178">
        <v>4.9125000000000002E-2</v>
      </c>
      <c r="I18" s="178">
        <v>3.8148930699999997</v>
      </c>
      <c r="J18" s="178">
        <v>44.68000095</v>
      </c>
      <c r="K18" s="178">
        <v>27.649631550000002</v>
      </c>
      <c r="L18" s="178">
        <v>72.329632500000002</v>
      </c>
      <c r="N18" s="179"/>
      <c r="O18" s="179"/>
      <c r="P18" s="179"/>
      <c r="Q18" s="179"/>
      <c r="R18" s="179"/>
      <c r="S18" s="179"/>
      <c r="T18" s="179"/>
      <c r="U18" s="179"/>
      <c r="V18" s="179"/>
      <c r="W18" s="179"/>
      <c r="X18" s="179"/>
    </row>
    <row r="19" spans="1:24" s="635" customFormat="1">
      <c r="A19" s="680" t="s">
        <v>556</v>
      </c>
      <c r="B19" s="680"/>
      <c r="C19" s="680"/>
      <c r="D19" s="681">
        <v>121.68219581999999</v>
      </c>
      <c r="E19" s="681">
        <v>130.03057992000001</v>
      </c>
      <c r="F19" s="681">
        <v>251.71277574000004</v>
      </c>
      <c r="G19" s="681">
        <v>40.191086120800016</v>
      </c>
      <c r="H19" s="681">
        <v>8.6403586291999979</v>
      </c>
      <c r="I19" s="681">
        <v>48.831444750000017</v>
      </c>
      <c r="J19" s="681">
        <v>161.87328194080001</v>
      </c>
      <c r="K19" s="681">
        <v>138.6709385492</v>
      </c>
      <c r="L19" s="681">
        <v>300.54422048999999</v>
      </c>
      <c r="N19" s="682"/>
      <c r="O19" s="682"/>
      <c r="P19" s="682"/>
      <c r="Q19" s="682"/>
      <c r="R19" s="682"/>
      <c r="S19" s="682"/>
      <c r="T19" s="682"/>
      <c r="U19" s="682"/>
      <c r="V19" s="682"/>
      <c r="W19" s="682"/>
      <c r="X19" s="682"/>
    </row>
    <row r="20" spans="1:24">
      <c r="A20" s="151" t="s">
        <v>212</v>
      </c>
      <c r="B20" s="151"/>
      <c r="C20" s="159"/>
      <c r="D20" s="153"/>
      <c r="E20" s="153"/>
      <c r="F20" s="153"/>
      <c r="G20" s="153"/>
      <c r="H20" s="153"/>
      <c r="I20" s="153"/>
      <c r="J20" s="178"/>
      <c r="K20" s="178"/>
      <c r="L20" s="153"/>
      <c r="N20" s="179"/>
      <c r="O20" s="179"/>
      <c r="P20" s="179"/>
      <c r="Q20" s="179"/>
      <c r="R20" s="179"/>
      <c r="S20" s="179"/>
      <c r="T20" s="179"/>
      <c r="U20" s="179"/>
      <c r="V20" s="179"/>
      <c r="W20" s="179"/>
      <c r="X20" s="179"/>
    </row>
    <row r="21" spans="1:24">
      <c r="A21" s="97"/>
      <c r="B21" s="97"/>
      <c r="C21" s="177" t="s">
        <v>12</v>
      </c>
      <c r="D21" s="178">
        <v>1.7411146200000001</v>
      </c>
      <c r="E21" s="178">
        <v>4.3999999999999997E-2</v>
      </c>
      <c r="F21" s="178">
        <v>1.7851146200000001</v>
      </c>
      <c r="G21" s="850" t="s">
        <v>654</v>
      </c>
      <c r="H21" s="850" t="s">
        <v>654</v>
      </c>
      <c r="I21" s="850" t="s">
        <v>654</v>
      </c>
      <c r="J21" s="178">
        <v>1.7411146200000001</v>
      </c>
      <c r="K21" s="178">
        <v>4.3999999999999997E-2</v>
      </c>
      <c r="L21" s="178">
        <v>1.7851146200000001</v>
      </c>
      <c r="N21" s="179"/>
      <c r="O21" s="179"/>
      <c r="P21" s="179"/>
      <c r="Q21" s="179"/>
      <c r="R21" s="179"/>
      <c r="S21" s="179"/>
      <c r="T21" s="179"/>
      <c r="U21" s="179"/>
      <c r="V21" s="179"/>
      <c r="W21" s="179"/>
      <c r="X21" s="179"/>
    </row>
    <row r="22" spans="1:24">
      <c r="A22" s="97"/>
      <c r="B22" s="97"/>
      <c r="C22" s="177" t="s">
        <v>13</v>
      </c>
      <c r="D22" s="178">
        <v>9.3770307300000013</v>
      </c>
      <c r="E22" s="178">
        <v>24.82907032</v>
      </c>
      <c r="F22" s="178">
        <v>34.206101049999994</v>
      </c>
      <c r="G22" s="178">
        <v>2.7534903500000003</v>
      </c>
      <c r="H22" s="850" t="s">
        <v>654</v>
      </c>
      <c r="I22" s="178">
        <v>2.7534903500000003</v>
      </c>
      <c r="J22" s="178">
        <v>12.130521079999999</v>
      </c>
      <c r="K22" s="178">
        <v>24.82907032</v>
      </c>
      <c r="L22" s="178">
        <v>36.959591400000001</v>
      </c>
      <c r="N22" s="179"/>
      <c r="O22" s="179"/>
      <c r="P22" s="179"/>
      <c r="Q22" s="179"/>
      <c r="R22" s="179"/>
      <c r="S22" s="179"/>
      <c r="T22" s="179"/>
      <c r="U22" s="179"/>
      <c r="V22" s="179"/>
      <c r="W22" s="179"/>
      <c r="X22" s="179"/>
    </row>
    <row r="23" spans="1:24">
      <c r="A23" s="97"/>
      <c r="B23" s="97"/>
      <c r="C23" s="177" t="s">
        <v>14</v>
      </c>
      <c r="D23" s="178">
        <v>29.099553</v>
      </c>
      <c r="E23" s="178">
        <v>150.36602340000002</v>
      </c>
      <c r="F23" s="178">
        <v>179.4655764</v>
      </c>
      <c r="G23" s="178">
        <v>2.1204722199999999</v>
      </c>
      <c r="H23" s="850" t="s">
        <v>654</v>
      </c>
      <c r="I23" s="178">
        <v>2.1204722199999999</v>
      </c>
      <c r="J23" s="178">
        <v>31.22002522</v>
      </c>
      <c r="K23" s="178">
        <v>150.36602340000002</v>
      </c>
      <c r="L23" s="178">
        <v>181.58604862000001</v>
      </c>
      <c r="N23" s="179"/>
      <c r="O23" s="179"/>
      <c r="P23" s="179"/>
      <c r="Q23" s="179"/>
      <c r="R23" s="179"/>
      <c r="S23" s="179"/>
      <c r="T23" s="179"/>
      <c r="U23" s="179"/>
      <c r="V23" s="179"/>
      <c r="W23" s="179"/>
      <c r="X23" s="179"/>
    </row>
    <row r="24" spans="1:24">
      <c r="A24" s="97"/>
      <c r="B24" s="97"/>
      <c r="C24" s="177" t="s">
        <v>15</v>
      </c>
      <c r="D24" s="178">
        <v>4.0310125399999999</v>
      </c>
      <c r="E24" s="178">
        <v>0</v>
      </c>
      <c r="F24" s="178">
        <v>4.0310125399999999</v>
      </c>
      <c r="G24" s="850" t="s">
        <v>654</v>
      </c>
      <c r="H24" s="850" t="s">
        <v>654</v>
      </c>
      <c r="I24" s="850" t="s">
        <v>654</v>
      </c>
      <c r="J24" s="178">
        <v>4.0310125399999999</v>
      </c>
      <c r="K24" s="850" t="s">
        <v>654</v>
      </c>
      <c r="L24" s="178">
        <v>4.0310125399999999</v>
      </c>
      <c r="N24" s="179"/>
      <c r="O24" s="179"/>
      <c r="P24" s="179"/>
      <c r="Q24" s="179"/>
      <c r="R24" s="179"/>
      <c r="S24" s="179"/>
      <c r="T24" s="179"/>
      <c r="U24" s="179"/>
      <c r="V24" s="179"/>
      <c r="W24" s="179"/>
      <c r="X24" s="179"/>
    </row>
    <row r="25" spans="1:24" s="635" customFormat="1">
      <c r="A25" s="683"/>
      <c r="B25" s="683" t="s">
        <v>557</v>
      </c>
      <c r="C25" s="683"/>
      <c r="D25" s="681">
        <v>44.248710889999998</v>
      </c>
      <c r="E25" s="681">
        <v>175.23909372</v>
      </c>
      <c r="F25" s="681">
        <v>219.48780460999998</v>
      </c>
      <c r="G25" s="681">
        <v>4.8739625700000007</v>
      </c>
      <c r="H25" s="850" t="s">
        <v>654</v>
      </c>
      <c r="I25" s="681">
        <v>4.8739625700000007</v>
      </c>
      <c r="J25" s="681">
        <v>49.122673460000001</v>
      </c>
      <c r="K25" s="681">
        <v>175.23909372</v>
      </c>
      <c r="L25" s="681">
        <v>224.36176717999999</v>
      </c>
    </row>
    <row r="26" spans="1:24">
      <c r="A26" s="180" t="s">
        <v>558</v>
      </c>
      <c r="B26" s="180"/>
      <c r="C26" s="180"/>
      <c r="D26" s="181">
        <v>165.93090671000002</v>
      </c>
      <c r="E26" s="181">
        <v>305.26967364000001</v>
      </c>
      <c r="F26" s="181">
        <v>471.20058035000011</v>
      </c>
      <c r="G26" s="181">
        <v>45.065048690800019</v>
      </c>
      <c r="H26" s="181">
        <v>8.6403586291999979</v>
      </c>
      <c r="I26" s="181">
        <v>53.705407320000013</v>
      </c>
      <c r="J26" s="182">
        <v>210.99595540080003</v>
      </c>
      <c r="K26" s="182">
        <v>313.91003226919997</v>
      </c>
      <c r="L26" s="181">
        <v>524.90598767000006</v>
      </c>
    </row>
    <row r="27" spans="1:24">
      <c r="A27" s="270" t="s">
        <v>219</v>
      </c>
      <c r="D27" s="183"/>
      <c r="E27" s="183"/>
      <c r="F27" s="183"/>
      <c r="G27" s="183"/>
      <c r="H27" s="183"/>
      <c r="I27" s="183"/>
      <c r="J27" s="183"/>
    </row>
    <row r="28" spans="1:24">
      <c r="A28" s="270" t="s">
        <v>214</v>
      </c>
    </row>
    <row r="30" spans="1:24">
      <c r="A30" s="40" t="s">
        <v>170</v>
      </c>
      <c r="D30" s="18"/>
      <c r="E30" s="18"/>
      <c r="F30" s="18"/>
      <c r="G30" s="18"/>
      <c r="H30" s="18"/>
      <c r="I30" s="18"/>
      <c r="J30" s="18"/>
    </row>
    <row r="31" spans="1:24">
      <c r="D31" s="18"/>
      <c r="E31" s="18"/>
      <c r="F31" s="18"/>
      <c r="G31" s="18"/>
      <c r="H31" s="18"/>
      <c r="I31" s="18"/>
      <c r="J31" s="18"/>
    </row>
    <row r="32" spans="1:24">
      <c r="D32" s="184"/>
      <c r="E32" s="18"/>
      <c r="F32" s="18"/>
      <c r="G32" s="18"/>
      <c r="H32" s="18"/>
      <c r="I32" s="18"/>
      <c r="J32" s="18"/>
    </row>
  </sheetData>
  <mergeCells count="9">
    <mergeCell ref="C1:F1"/>
    <mergeCell ref="G10:I11"/>
    <mergeCell ref="J10:L11"/>
    <mergeCell ref="A4:L5"/>
    <mergeCell ref="A8:L8"/>
    <mergeCell ref="A7:L7"/>
    <mergeCell ref="A6:L6"/>
    <mergeCell ref="D10:F11"/>
    <mergeCell ref="A10:C12"/>
  </mergeCells>
  <hyperlinks>
    <hyperlink ref="C1:F1" location="Indice!A1" display="Cuadro 3.1 Gastos ambientales de la  admon central y local del gobierno "/>
  </hyperlinks>
  <pageMargins left="0.7" right="0.7" top="0.75" bottom="0.75" header="0.3" footer="0.3"/>
  <pageSetup paperSize="9" scale="85" orientation="portrait" r:id="rId1"/>
</worksheet>
</file>

<file path=xl/worksheets/sheet18.xml><?xml version="1.0" encoding="utf-8"?>
<worksheet xmlns="http://schemas.openxmlformats.org/spreadsheetml/2006/main" xmlns:r="http://schemas.openxmlformats.org/officeDocument/2006/relationships">
  <sheetPr>
    <tabColor theme="3" tint="0.39997558519241921"/>
    <pageSetUpPr fitToPage="1"/>
  </sheetPr>
  <dimension ref="A1:V31"/>
  <sheetViews>
    <sheetView showGridLines="0" topLeftCell="A4" workbookViewId="0">
      <selection activeCell="A4" sqref="A4"/>
    </sheetView>
  </sheetViews>
  <sheetFormatPr baseColWidth="10" defaultRowHeight="12.75"/>
  <cols>
    <col min="1" max="1" width="1.5" customWidth="1"/>
    <col min="2" max="2" width="1.83203125" customWidth="1"/>
    <col min="3" max="3" width="53.83203125" customWidth="1"/>
    <col min="4" max="4" width="9" customWidth="1"/>
    <col min="5" max="5" width="7.33203125" customWidth="1"/>
    <col min="6" max="6" width="7" customWidth="1"/>
    <col min="7" max="7" width="8.6640625" customWidth="1"/>
    <col min="8" max="8" width="8.33203125" customWidth="1"/>
    <col min="9" max="9" width="6.6640625" customWidth="1"/>
    <col min="10" max="10" width="16" customWidth="1"/>
  </cols>
  <sheetData>
    <row r="1" spans="1:22" s="44" customFormat="1" hidden="1">
      <c r="C1" s="544" t="s">
        <v>304</v>
      </c>
      <c r="D1" s="544"/>
      <c r="E1" s="544"/>
      <c r="F1" s="544"/>
      <c r="G1" s="18"/>
      <c r="H1" s="18"/>
      <c r="I1" s="18"/>
      <c r="J1" s="18"/>
    </row>
    <row r="2" spans="1:22" s="44" customFormat="1" hidden="1">
      <c r="D2" s="184"/>
      <c r="E2" s="18"/>
      <c r="F2" s="18"/>
      <c r="G2" s="18"/>
      <c r="H2" s="18"/>
      <c r="I2" s="18"/>
      <c r="J2" s="18"/>
    </row>
    <row r="3" spans="1:22" s="44" customFormat="1" hidden="1">
      <c r="C3" s="185"/>
      <c r="D3" s="186"/>
      <c r="E3" s="186"/>
      <c r="F3" s="186"/>
      <c r="G3" s="186"/>
      <c r="H3" s="186"/>
      <c r="I3" s="186"/>
      <c r="J3" s="187"/>
    </row>
    <row r="4" spans="1:22" s="44" customFormat="1">
      <c r="A4" s="19" t="s">
        <v>656</v>
      </c>
      <c r="B4" s="19"/>
      <c r="C4" s="19"/>
      <c r="D4" s="19"/>
      <c r="E4" s="19"/>
      <c r="F4" s="19"/>
      <c r="G4" s="19"/>
      <c r="H4" s="19"/>
      <c r="I4" s="19"/>
      <c r="J4" s="19"/>
      <c r="K4" s="3"/>
    </row>
    <row r="5" spans="1:22" s="44" customFormat="1" ht="13.5" customHeight="1">
      <c r="A5" s="545" t="s">
        <v>305</v>
      </c>
      <c r="B5" s="545"/>
      <c r="C5" s="545"/>
      <c r="D5" s="545"/>
      <c r="E5" s="545"/>
      <c r="F5" s="545"/>
      <c r="G5" s="545"/>
      <c r="H5" s="545"/>
      <c r="I5" s="545"/>
      <c r="J5" s="545"/>
    </row>
    <row r="6" spans="1:22" s="44" customFormat="1">
      <c r="A6" s="545"/>
      <c r="B6" s="545"/>
      <c r="C6" s="545"/>
      <c r="D6" s="545"/>
      <c r="E6" s="545"/>
      <c r="F6" s="545"/>
      <c r="G6" s="545"/>
      <c r="H6" s="545"/>
      <c r="I6" s="545"/>
      <c r="J6" s="545"/>
    </row>
    <row r="7" spans="1:22" s="44" customFormat="1">
      <c r="A7" s="548" t="s">
        <v>16</v>
      </c>
      <c r="B7" s="548"/>
      <c r="C7" s="548"/>
      <c r="D7" s="548"/>
      <c r="E7" s="548"/>
      <c r="F7" s="548"/>
      <c r="G7" s="548"/>
      <c r="H7" s="548"/>
      <c r="I7" s="548"/>
      <c r="J7" s="548"/>
      <c r="M7" s="179"/>
      <c r="N7" s="179"/>
      <c r="O7" s="179"/>
      <c r="P7" s="179"/>
      <c r="Q7" s="179"/>
      <c r="R7" s="179">
        <f>K14/1000000</f>
        <v>0</v>
      </c>
    </row>
    <row r="8" spans="1:22" s="44" customFormat="1">
      <c r="A8" s="548" t="s">
        <v>232</v>
      </c>
      <c r="B8" s="548"/>
      <c r="C8" s="548"/>
      <c r="D8" s="548"/>
      <c r="E8" s="548"/>
      <c r="F8" s="548"/>
      <c r="G8" s="548"/>
      <c r="H8" s="548"/>
      <c r="I8" s="548"/>
      <c r="J8" s="548"/>
      <c r="M8" s="179"/>
      <c r="N8" s="179"/>
      <c r="O8" s="179"/>
      <c r="P8" s="179"/>
      <c r="Q8" s="179"/>
      <c r="R8" s="179"/>
      <c r="S8" s="179"/>
      <c r="T8" s="179"/>
      <c r="U8" s="179"/>
      <c r="V8" s="179"/>
    </row>
    <row r="9" spans="1:22" s="44" customFormat="1">
      <c r="A9" s="547" t="s">
        <v>43</v>
      </c>
      <c r="B9" s="547"/>
      <c r="C9" s="547"/>
      <c r="D9" s="547"/>
      <c r="E9" s="547"/>
      <c r="F9" s="547"/>
      <c r="G9" s="547"/>
      <c r="H9" s="547"/>
      <c r="I9" s="547"/>
      <c r="J9" s="547"/>
      <c r="M9" s="179"/>
      <c r="N9" s="179"/>
      <c r="O9" s="179"/>
      <c r="P9" s="179"/>
      <c r="Q9" s="179"/>
      <c r="R9" s="179"/>
      <c r="S9" s="179"/>
      <c r="T9" s="179"/>
      <c r="U9" s="179"/>
      <c r="V9" s="179"/>
    </row>
    <row r="10" spans="1:22" s="44" customFormat="1">
      <c r="M10" s="179"/>
      <c r="N10" s="179"/>
      <c r="O10" s="179"/>
      <c r="P10" s="179"/>
      <c r="Q10" s="179"/>
      <c r="R10" s="179"/>
      <c r="S10" s="179"/>
      <c r="T10" s="179"/>
      <c r="U10" s="179"/>
      <c r="V10" s="179"/>
    </row>
    <row r="11" spans="1:22" s="44" customFormat="1" ht="12.75" customHeight="1">
      <c r="A11" s="600" t="s">
        <v>555</v>
      </c>
      <c r="B11" s="600"/>
      <c r="C11" s="600"/>
      <c r="D11" s="684"/>
      <c r="E11" s="685" t="s">
        <v>4</v>
      </c>
      <c r="F11" s="685"/>
      <c r="G11" s="817" t="s">
        <v>151</v>
      </c>
      <c r="H11" s="621"/>
      <c r="I11" s="621"/>
      <c r="J11" s="689" t="s">
        <v>179</v>
      </c>
      <c r="M11" s="179"/>
      <c r="N11" s="179"/>
      <c r="O11" s="179"/>
      <c r="P11" s="179"/>
      <c r="Q11" s="179"/>
      <c r="R11" s="179"/>
      <c r="S11" s="179"/>
      <c r="T11" s="179"/>
      <c r="U11" s="179"/>
      <c r="V11" s="179"/>
    </row>
    <row r="12" spans="1:22" s="44" customFormat="1">
      <c r="A12" s="602"/>
      <c r="B12" s="602"/>
      <c r="C12" s="602"/>
      <c r="D12" s="686" t="s">
        <v>205</v>
      </c>
      <c r="E12" s="687" t="s">
        <v>0</v>
      </c>
      <c r="F12" s="688" t="s">
        <v>6</v>
      </c>
      <c r="G12" s="691" t="s">
        <v>205</v>
      </c>
      <c r="H12" s="692" t="s">
        <v>0</v>
      </c>
      <c r="I12" s="693" t="s">
        <v>6</v>
      </c>
      <c r="J12" s="690" t="s">
        <v>569</v>
      </c>
      <c r="M12" s="179"/>
      <c r="N12" s="179"/>
      <c r="O12" s="179"/>
      <c r="P12" s="179"/>
      <c r="Q12" s="179"/>
      <c r="R12" s="179"/>
      <c r="S12" s="179"/>
      <c r="T12" s="179"/>
      <c r="U12" s="179"/>
      <c r="V12" s="179"/>
    </row>
    <row r="13" spans="1:22" s="44" customFormat="1">
      <c r="A13" s="189" t="s">
        <v>233</v>
      </c>
      <c r="B13" s="189"/>
      <c r="C13" s="173"/>
      <c r="D13" s="190"/>
      <c r="E13" s="190"/>
      <c r="F13" s="190"/>
      <c r="G13" s="190"/>
      <c r="H13" s="190"/>
      <c r="I13" s="190"/>
      <c r="J13" s="191"/>
      <c r="M13" s="179"/>
      <c r="N13" s="179"/>
      <c r="O13" s="179"/>
      <c r="P13" s="179"/>
      <c r="Q13" s="179"/>
      <c r="R13" s="179"/>
      <c r="S13" s="179"/>
      <c r="T13" s="179"/>
      <c r="U13" s="179"/>
      <c r="V13" s="179"/>
    </row>
    <row r="14" spans="1:22" s="44" customFormat="1">
      <c r="C14" s="818" t="s">
        <v>164</v>
      </c>
      <c r="D14" s="193" t="s">
        <v>654</v>
      </c>
      <c r="E14" s="193">
        <v>5.4032415499999997</v>
      </c>
      <c r="F14" s="193">
        <v>5.4032415499999997</v>
      </c>
      <c r="G14" s="193">
        <v>35.08185734269999</v>
      </c>
      <c r="H14" s="193">
        <v>112.45601181730002</v>
      </c>
      <c r="I14" s="193">
        <v>147.53786916000001</v>
      </c>
      <c r="J14" s="194">
        <v>152.94111071</v>
      </c>
      <c r="L14" s="179"/>
      <c r="M14" s="179"/>
      <c r="N14" s="179"/>
      <c r="O14" s="179"/>
      <c r="P14" s="179"/>
      <c r="Q14" s="179"/>
      <c r="R14" s="179"/>
      <c r="S14" s="179"/>
      <c r="T14" s="179"/>
      <c r="U14" s="179"/>
      <c r="V14" s="179"/>
    </row>
    <row r="15" spans="1:22" s="44" customFormat="1">
      <c r="C15" s="818" t="s">
        <v>161</v>
      </c>
      <c r="D15" s="193">
        <v>0.69438738</v>
      </c>
      <c r="E15" s="193">
        <v>1.1608887299999999</v>
      </c>
      <c r="F15" s="193">
        <v>1.8552761099999999</v>
      </c>
      <c r="G15" s="193">
        <v>29.900308559999992</v>
      </c>
      <c r="H15" s="193">
        <v>5.54996884</v>
      </c>
      <c r="I15" s="193">
        <v>35.45027739999999</v>
      </c>
      <c r="J15" s="194">
        <v>37.305553509999989</v>
      </c>
      <c r="L15" s="179"/>
      <c r="M15" s="179"/>
      <c r="N15" s="179"/>
      <c r="O15" s="179"/>
      <c r="P15" s="179"/>
      <c r="Q15" s="179"/>
      <c r="R15" s="179"/>
      <c r="S15" s="179"/>
      <c r="T15" s="179"/>
      <c r="U15" s="179"/>
      <c r="V15" s="179"/>
    </row>
    <row r="16" spans="1:22" s="44" customFormat="1">
      <c r="C16" s="192" t="s">
        <v>9</v>
      </c>
      <c r="D16" s="193">
        <v>69.893411909999998</v>
      </c>
      <c r="E16" s="193">
        <v>101.19929721</v>
      </c>
      <c r="F16" s="193">
        <v>171.09270911999999</v>
      </c>
      <c r="G16" s="193">
        <v>5.2564636299999989</v>
      </c>
      <c r="H16" s="193">
        <v>9.9164010000000011E-2</v>
      </c>
      <c r="I16" s="193">
        <v>5.3556276399999989</v>
      </c>
      <c r="J16" s="194">
        <v>176.44833675999999</v>
      </c>
      <c r="L16" s="179"/>
      <c r="M16" s="179"/>
      <c r="N16" s="179"/>
      <c r="O16" s="179"/>
      <c r="P16" s="179"/>
      <c r="Q16" s="179"/>
      <c r="R16" s="179"/>
      <c r="S16" s="179"/>
      <c r="T16" s="179"/>
      <c r="U16" s="179"/>
      <c r="V16" s="179"/>
    </row>
    <row r="17" spans="1:22" s="44" customFormat="1">
      <c r="C17" s="192" t="s">
        <v>10</v>
      </c>
      <c r="D17" s="193">
        <v>10.180163650000001</v>
      </c>
      <c r="E17" s="193">
        <v>6.9887429999999987E-2</v>
      </c>
      <c r="F17" s="193">
        <v>10.25005108</v>
      </c>
      <c r="G17" s="193" t="s">
        <v>654</v>
      </c>
      <c r="H17" s="193" t="s">
        <v>654</v>
      </c>
      <c r="I17" s="193" t="s">
        <v>654</v>
      </c>
      <c r="J17" s="194">
        <v>10.25005108</v>
      </c>
      <c r="L17" s="179"/>
      <c r="M17" s="179"/>
      <c r="N17" s="179"/>
      <c r="O17" s="179"/>
      <c r="P17" s="179"/>
      <c r="Q17" s="179"/>
      <c r="R17" s="179"/>
      <c r="S17" s="179"/>
      <c r="T17" s="179"/>
      <c r="U17" s="179"/>
      <c r="V17" s="179"/>
    </row>
    <row r="18" spans="1:22" s="44" customFormat="1">
      <c r="C18" s="192" t="s">
        <v>11</v>
      </c>
      <c r="D18" s="193">
        <v>40.914232879999993</v>
      </c>
      <c r="E18" s="193">
        <v>27.600506549999999</v>
      </c>
      <c r="F18" s="193">
        <v>68.514739429999992</v>
      </c>
      <c r="G18" s="193">
        <v>3.76576807</v>
      </c>
      <c r="H18" s="193">
        <v>4.9125000000000002E-2</v>
      </c>
      <c r="I18" s="193">
        <v>3.8148930699999997</v>
      </c>
      <c r="J18" s="194">
        <v>72.329632499999988</v>
      </c>
      <c r="L18" s="179"/>
      <c r="M18" s="179"/>
      <c r="N18" s="179"/>
      <c r="O18" s="179"/>
      <c r="P18" s="179"/>
      <c r="Q18" s="179"/>
      <c r="R18" s="179"/>
      <c r="S18" s="179"/>
      <c r="T18" s="179"/>
      <c r="U18" s="179"/>
      <c r="V18" s="179"/>
    </row>
    <row r="19" spans="1:22" s="635" customFormat="1">
      <c r="A19" s="694"/>
      <c r="B19" s="694" t="s">
        <v>556</v>
      </c>
      <c r="C19" s="694"/>
      <c r="D19" s="695">
        <v>121.68219581999999</v>
      </c>
      <c r="E19" s="695">
        <v>135.43382147</v>
      </c>
      <c r="F19" s="695">
        <v>257.11601729</v>
      </c>
      <c r="G19" s="695">
        <v>74.004397602699967</v>
      </c>
      <c r="H19" s="695">
        <v>118.15426966730003</v>
      </c>
      <c r="I19" s="695">
        <v>192.15866726999997</v>
      </c>
      <c r="J19" s="696">
        <v>449.27468456000003</v>
      </c>
      <c r="L19" s="682"/>
      <c r="M19" s="682"/>
      <c r="N19" s="682"/>
      <c r="O19" s="682"/>
      <c r="P19" s="682"/>
      <c r="Q19" s="682"/>
      <c r="R19" s="682"/>
      <c r="S19" s="682"/>
      <c r="T19" s="682"/>
      <c r="U19" s="682"/>
      <c r="V19" s="682"/>
    </row>
    <row r="20" spans="1:22" s="44" customFormat="1">
      <c r="A20" s="79" t="s">
        <v>234</v>
      </c>
      <c r="B20" s="79"/>
      <c r="C20" s="63"/>
      <c r="D20" s="193" t="s">
        <v>654</v>
      </c>
      <c r="E20" s="193" t="s">
        <v>654</v>
      </c>
      <c r="F20" s="193" t="s">
        <v>654</v>
      </c>
      <c r="G20" s="193" t="s">
        <v>654</v>
      </c>
      <c r="H20" s="193" t="s">
        <v>654</v>
      </c>
      <c r="I20" s="193" t="s">
        <v>654</v>
      </c>
      <c r="J20" s="193" t="s">
        <v>654</v>
      </c>
      <c r="L20" s="179"/>
      <c r="M20" s="179"/>
      <c r="N20" s="179"/>
      <c r="O20" s="179"/>
      <c r="P20" s="179"/>
      <c r="Q20" s="179"/>
      <c r="R20" s="179"/>
      <c r="S20" s="179"/>
      <c r="T20" s="179"/>
      <c r="U20" s="179"/>
      <c r="V20" s="179"/>
    </row>
    <row r="21" spans="1:22" s="44" customFormat="1">
      <c r="C21" s="192" t="s">
        <v>12</v>
      </c>
      <c r="D21" s="193">
        <v>1.7411146200000001</v>
      </c>
      <c r="E21" s="193">
        <v>4.3999999999999997E-2</v>
      </c>
      <c r="F21" s="193">
        <v>1.7851146200000001</v>
      </c>
      <c r="G21" s="193" t="s">
        <v>654</v>
      </c>
      <c r="H21" s="193" t="s">
        <v>654</v>
      </c>
      <c r="I21" s="193" t="s">
        <v>654</v>
      </c>
      <c r="J21" s="194">
        <v>1.7851146200000001</v>
      </c>
      <c r="L21" s="179"/>
    </row>
    <row r="22" spans="1:22" s="44" customFormat="1">
      <c r="C22" s="192" t="s">
        <v>13</v>
      </c>
      <c r="D22" s="193">
        <v>9.3770307300000013</v>
      </c>
      <c r="E22" s="193">
        <v>47.236132140000002</v>
      </c>
      <c r="F22" s="193">
        <v>56.613162870000004</v>
      </c>
      <c r="G22" s="193">
        <v>112.87238791249992</v>
      </c>
      <c r="H22" s="193">
        <v>297.72887118750003</v>
      </c>
      <c r="I22" s="193">
        <v>410.60125909999994</v>
      </c>
      <c r="J22" s="194">
        <v>467.21442196999999</v>
      </c>
      <c r="L22" s="179"/>
    </row>
    <row r="23" spans="1:22" s="44" customFormat="1">
      <c r="C23" s="192" t="s">
        <v>14</v>
      </c>
      <c r="D23" s="193">
        <v>29.099553</v>
      </c>
      <c r="E23" s="193">
        <v>150.36602340000002</v>
      </c>
      <c r="F23" s="193">
        <v>179.4655764</v>
      </c>
      <c r="G23" s="193">
        <v>2.1204722200000004</v>
      </c>
      <c r="H23" s="193" t="s">
        <v>654</v>
      </c>
      <c r="I23" s="193">
        <v>2.1204722200000004</v>
      </c>
      <c r="J23" s="194">
        <v>181.58604862000001</v>
      </c>
      <c r="L23" s="179"/>
    </row>
    <row r="24" spans="1:22" s="44" customFormat="1">
      <c r="C24" s="195" t="s">
        <v>15</v>
      </c>
      <c r="D24" s="193">
        <v>4.0310125399999999</v>
      </c>
      <c r="E24" s="193" t="s">
        <v>654</v>
      </c>
      <c r="F24" s="193">
        <v>4.0310125399999999</v>
      </c>
      <c r="G24" s="193" t="s">
        <v>654</v>
      </c>
      <c r="H24" s="193" t="s">
        <v>654</v>
      </c>
      <c r="I24" s="193" t="s">
        <v>654</v>
      </c>
      <c r="J24" s="194">
        <v>4.0310125399999999</v>
      </c>
      <c r="L24" s="179"/>
    </row>
    <row r="25" spans="1:22" s="635" customFormat="1">
      <c r="A25" s="694"/>
      <c r="B25" s="694" t="s">
        <v>557</v>
      </c>
      <c r="C25" s="694"/>
      <c r="D25" s="695">
        <v>44.248710889999998</v>
      </c>
      <c r="E25" s="695">
        <v>197.64615554000002</v>
      </c>
      <c r="F25" s="695">
        <v>241.89486643000001</v>
      </c>
      <c r="G25" s="695">
        <v>114.99286013249991</v>
      </c>
      <c r="H25" s="695">
        <v>297.72887118750003</v>
      </c>
      <c r="I25" s="695">
        <v>412.72173132</v>
      </c>
      <c r="J25" s="696">
        <v>654.61659774999998</v>
      </c>
      <c r="L25" s="682"/>
    </row>
    <row r="26" spans="1:22" s="44" customFormat="1">
      <c r="A26" s="196" t="s">
        <v>558</v>
      </c>
      <c r="B26" s="196"/>
      <c r="C26" s="196"/>
      <c r="D26" s="197">
        <v>165.93090671000002</v>
      </c>
      <c r="E26" s="197">
        <v>333.07997700999999</v>
      </c>
      <c r="F26" s="197">
        <v>499.01088372000009</v>
      </c>
      <c r="G26" s="197">
        <v>188.9972577351999</v>
      </c>
      <c r="H26" s="197">
        <v>415.8831408548001</v>
      </c>
      <c r="I26" s="197">
        <v>604.88039858999991</v>
      </c>
      <c r="J26" s="197">
        <v>1103.89128231</v>
      </c>
      <c r="L26" s="179"/>
    </row>
    <row r="27" spans="1:22" s="44" customFormat="1">
      <c r="A27" s="44" t="s">
        <v>180</v>
      </c>
    </row>
    <row r="28" spans="1:22">
      <c r="A28" s="270" t="s">
        <v>231</v>
      </c>
      <c r="B28" s="44"/>
      <c r="D28" s="44"/>
      <c r="E28" s="44"/>
      <c r="F28" s="44"/>
      <c r="G28" s="44"/>
      <c r="H28" s="44"/>
      <c r="I28" s="44"/>
      <c r="J28" s="44"/>
      <c r="K28" s="44"/>
      <c r="L28" s="44"/>
    </row>
    <row r="29" spans="1:22">
      <c r="A29" s="270" t="s">
        <v>214</v>
      </c>
    </row>
    <row r="31" spans="1:22">
      <c r="A31" s="40" t="s">
        <v>170</v>
      </c>
    </row>
  </sheetData>
  <mergeCells count="7">
    <mergeCell ref="A11:C12"/>
    <mergeCell ref="G11:I11"/>
    <mergeCell ref="A9:J9"/>
    <mergeCell ref="A8:J8"/>
    <mergeCell ref="A7:J7"/>
    <mergeCell ref="C1:F1"/>
    <mergeCell ref="A5:J6"/>
  </mergeCells>
  <hyperlinks>
    <hyperlink ref="C1:F1" location="Indice!A1" display="Cuadro 3.1 Gastos ambientales de la  admon central y local del gobierno "/>
  </hyperlinks>
  <pageMargins left="0.7" right="0.7" top="0.75" bottom="0.75" header="0.3" footer="0.3"/>
  <pageSetup scale="93" orientation="portrait" r:id="rId1"/>
</worksheet>
</file>

<file path=xl/worksheets/sheet19.xml><?xml version="1.0" encoding="utf-8"?>
<worksheet xmlns="http://schemas.openxmlformats.org/spreadsheetml/2006/main" xmlns:r="http://schemas.openxmlformats.org/officeDocument/2006/relationships">
  <sheetPr>
    <tabColor theme="3" tint="0.39997558519241921"/>
    <pageSetUpPr fitToPage="1"/>
  </sheetPr>
  <dimension ref="A1:U46"/>
  <sheetViews>
    <sheetView showGridLines="0" topLeftCell="A3" workbookViewId="0">
      <selection activeCell="A3" sqref="A3:U3"/>
    </sheetView>
  </sheetViews>
  <sheetFormatPr baseColWidth="10" defaultRowHeight="12.75"/>
  <cols>
    <col min="1" max="1" width="1" style="168" customWidth="1"/>
    <col min="2" max="2" width="1.33203125" style="168" customWidth="1"/>
    <col min="3" max="3" width="47.83203125" style="49" customWidth="1"/>
    <col min="4" max="4" width="8.83203125" style="49" customWidth="1"/>
    <col min="5" max="5" width="7.1640625" style="49" customWidth="1"/>
    <col min="6" max="6" width="10.1640625" style="49" customWidth="1"/>
    <col min="7" max="7" width="8.6640625" style="49" customWidth="1"/>
    <col min="8" max="8" width="7.5" style="49" customWidth="1"/>
    <col min="9" max="9" width="10" style="49" customWidth="1"/>
    <col min="10" max="10" width="8.83203125" style="49" customWidth="1"/>
    <col min="11" max="11" width="8" style="49" customWidth="1"/>
    <col min="12" max="12" width="10.33203125" style="49" customWidth="1"/>
    <col min="13" max="13" width="9.5" style="49" customWidth="1"/>
    <col min="14" max="14" width="7.5" style="49" customWidth="1"/>
    <col min="15" max="16" width="8.6640625" style="49" customWidth="1"/>
    <col min="17" max="17" width="6.83203125" style="49" customWidth="1"/>
    <col min="18" max="18" width="9" style="49" customWidth="1"/>
    <col min="19" max="19" width="8.5" style="49" customWidth="1"/>
    <col min="20" max="20" width="8.1640625" style="49" customWidth="1"/>
    <col min="21" max="21" width="8.33203125" style="49" customWidth="1"/>
    <col min="22" max="16384" width="12" style="49"/>
  </cols>
  <sheetData>
    <row r="1" spans="1:21" hidden="1">
      <c r="A1" s="45" t="s">
        <v>306</v>
      </c>
      <c r="B1" s="42"/>
    </row>
    <row r="2" spans="1:21" hidden="1"/>
    <row r="3" spans="1:21" ht="12.75" customHeight="1">
      <c r="A3" s="549" t="s">
        <v>271</v>
      </c>
      <c r="B3" s="549"/>
      <c r="C3" s="549"/>
      <c r="D3" s="549"/>
      <c r="E3" s="549"/>
      <c r="F3" s="549"/>
      <c r="G3" s="549"/>
      <c r="H3" s="549"/>
      <c r="I3" s="549"/>
      <c r="J3" s="549"/>
      <c r="K3" s="549"/>
      <c r="L3" s="549"/>
      <c r="M3" s="549"/>
      <c r="N3" s="549"/>
      <c r="O3" s="549"/>
      <c r="P3" s="549"/>
      <c r="Q3" s="549"/>
      <c r="R3" s="549"/>
      <c r="S3" s="549"/>
      <c r="T3" s="549"/>
      <c r="U3" s="549"/>
    </row>
    <row r="4" spans="1:21">
      <c r="A4" s="550" t="s">
        <v>257</v>
      </c>
      <c r="B4" s="550"/>
      <c r="C4" s="550"/>
      <c r="D4" s="550"/>
      <c r="E4" s="550"/>
      <c r="F4" s="550"/>
      <c r="G4" s="550"/>
      <c r="H4" s="550"/>
      <c r="I4" s="550"/>
      <c r="J4" s="550"/>
      <c r="K4" s="550"/>
      <c r="L4" s="550"/>
      <c r="M4" s="550"/>
      <c r="N4" s="550"/>
      <c r="O4" s="550"/>
      <c r="P4" s="550"/>
      <c r="Q4" s="550"/>
      <c r="R4" s="550"/>
      <c r="S4" s="550"/>
      <c r="T4" s="550"/>
      <c r="U4" s="550"/>
    </row>
    <row r="5" spans="1:21">
      <c r="A5" s="546" t="s">
        <v>17</v>
      </c>
      <c r="B5" s="546"/>
      <c r="C5" s="546"/>
      <c r="D5" s="546"/>
      <c r="E5" s="546"/>
      <c r="F5" s="546"/>
      <c r="G5" s="546"/>
      <c r="H5" s="546"/>
      <c r="I5" s="546"/>
      <c r="J5" s="546"/>
      <c r="K5" s="546"/>
      <c r="L5" s="546"/>
      <c r="M5" s="546"/>
      <c r="N5" s="546"/>
      <c r="O5" s="546"/>
      <c r="P5" s="546"/>
      <c r="Q5" s="546"/>
      <c r="R5" s="546"/>
      <c r="S5" s="546"/>
      <c r="T5" s="546"/>
      <c r="U5" s="546"/>
    </row>
    <row r="6" spans="1:21" ht="13.5" customHeight="1">
      <c r="A6" s="546" t="s">
        <v>246</v>
      </c>
      <c r="B6" s="546"/>
      <c r="C6" s="546"/>
      <c r="D6" s="546"/>
      <c r="E6" s="546"/>
      <c r="F6" s="546"/>
      <c r="G6" s="546"/>
      <c r="H6" s="546"/>
      <c r="I6" s="546"/>
      <c r="J6" s="546"/>
      <c r="K6" s="546"/>
      <c r="L6" s="546"/>
      <c r="M6" s="546"/>
      <c r="N6" s="546"/>
      <c r="O6" s="546"/>
      <c r="P6" s="546"/>
      <c r="Q6" s="546"/>
      <c r="R6" s="546"/>
      <c r="S6" s="546"/>
      <c r="T6" s="546"/>
      <c r="U6" s="546"/>
    </row>
    <row r="7" spans="1:21" ht="13.5" customHeight="1">
      <c r="A7" s="551" t="s">
        <v>29</v>
      </c>
      <c r="B7" s="551"/>
      <c r="C7" s="551"/>
      <c r="D7" s="551"/>
      <c r="E7" s="551"/>
      <c r="F7" s="551"/>
      <c r="G7" s="551"/>
      <c r="H7" s="551"/>
      <c r="I7" s="551"/>
      <c r="J7" s="551"/>
      <c r="K7" s="551"/>
      <c r="L7" s="551"/>
      <c r="M7" s="551"/>
      <c r="N7" s="551"/>
      <c r="O7" s="551"/>
      <c r="P7" s="551"/>
      <c r="Q7" s="551"/>
      <c r="R7" s="551"/>
      <c r="S7" s="551"/>
      <c r="T7" s="551"/>
      <c r="U7" s="551"/>
    </row>
    <row r="8" spans="1:21">
      <c r="A8" s="49"/>
      <c r="B8" s="49"/>
    </row>
    <row r="9" spans="1:21">
      <c r="A9" s="278"/>
      <c r="B9" s="600" t="s">
        <v>153</v>
      </c>
      <c r="C9" s="649"/>
      <c r="D9" s="612"/>
      <c r="E9" s="612">
        <v>2001</v>
      </c>
      <c r="F9" s="612"/>
      <c r="G9" s="613"/>
      <c r="H9" s="613">
        <v>2002</v>
      </c>
      <c r="I9" s="613"/>
      <c r="J9" s="612"/>
      <c r="K9" s="612">
        <v>2003</v>
      </c>
      <c r="L9" s="612"/>
      <c r="M9" s="613"/>
      <c r="N9" s="613">
        <v>2004</v>
      </c>
      <c r="O9" s="613"/>
      <c r="P9" s="612"/>
      <c r="Q9" s="612">
        <v>2005</v>
      </c>
      <c r="R9" s="612"/>
      <c r="S9" s="613"/>
      <c r="T9" s="613">
        <v>2006</v>
      </c>
      <c r="U9" s="614"/>
    </row>
    <row r="10" spans="1:21">
      <c r="A10" s="278"/>
      <c r="B10" s="650"/>
      <c r="C10" s="650"/>
      <c r="D10" s="630" t="s">
        <v>205</v>
      </c>
      <c r="E10" s="630" t="s">
        <v>0</v>
      </c>
      <c r="F10" s="630" t="s">
        <v>6</v>
      </c>
      <c r="G10" s="628" t="s">
        <v>205</v>
      </c>
      <c r="H10" s="628" t="s">
        <v>0</v>
      </c>
      <c r="I10" s="628" t="s">
        <v>6</v>
      </c>
      <c r="J10" s="630" t="s">
        <v>205</v>
      </c>
      <c r="K10" s="630" t="s">
        <v>0</v>
      </c>
      <c r="L10" s="630" t="s">
        <v>6</v>
      </c>
      <c r="M10" s="628" t="s">
        <v>205</v>
      </c>
      <c r="N10" s="628" t="s">
        <v>0</v>
      </c>
      <c r="O10" s="628" t="s">
        <v>6</v>
      </c>
      <c r="P10" s="630" t="s">
        <v>205</v>
      </c>
      <c r="Q10" s="630" t="s">
        <v>0</v>
      </c>
      <c r="R10" s="630" t="s">
        <v>6</v>
      </c>
      <c r="S10" s="628" t="s">
        <v>205</v>
      </c>
      <c r="T10" s="628" t="s">
        <v>0</v>
      </c>
      <c r="U10" s="628" t="s">
        <v>6</v>
      </c>
    </row>
    <row r="11" spans="1:21" ht="13.5">
      <c r="A11" s="278"/>
      <c r="B11" s="294" t="s">
        <v>241</v>
      </c>
      <c r="C11" s="304"/>
      <c r="D11" s="300">
        <v>0.80263268209546723</v>
      </c>
      <c r="E11" s="300">
        <v>0.3666600316060471</v>
      </c>
      <c r="F11" s="300">
        <v>1.1692927137015146</v>
      </c>
      <c r="G11" s="300">
        <v>0.69786961369155698</v>
      </c>
      <c r="H11" s="300">
        <v>0.45901215721133193</v>
      </c>
      <c r="I11" s="300">
        <v>1.1568817709028891</v>
      </c>
      <c r="J11" s="300">
        <v>0.44442287989459994</v>
      </c>
      <c r="K11" s="300">
        <v>0.25818028817700905</v>
      </c>
      <c r="L11" s="300">
        <v>0.70260316807160905</v>
      </c>
      <c r="M11" s="300">
        <v>0.43638532231966731</v>
      </c>
      <c r="N11" s="300">
        <v>0.24785939270911059</v>
      </c>
      <c r="O11" s="300">
        <v>0.68424471502877804</v>
      </c>
      <c r="P11" s="300">
        <v>0.37958656647343353</v>
      </c>
      <c r="Q11" s="300">
        <v>0.39990398069159327</v>
      </c>
      <c r="R11" s="300">
        <v>0.77949054716502675</v>
      </c>
      <c r="S11" s="300">
        <v>0.33380021676871424</v>
      </c>
      <c r="T11" s="300">
        <v>0.35670161498452824</v>
      </c>
      <c r="U11" s="300">
        <v>0.69050183175324265</v>
      </c>
    </row>
    <row r="12" spans="1:21" ht="13.5">
      <c r="B12" s="296"/>
      <c r="C12" s="296" t="s">
        <v>161</v>
      </c>
      <c r="D12" s="301">
        <v>4.6766579648591256E-3</v>
      </c>
      <c r="E12" s="301">
        <v>3.6770772747561915E-2</v>
      </c>
      <c r="F12" s="301">
        <v>4.1447430712421039E-2</v>
      </c>
      <c r="G12" s="301">
        <v>9.6669658008786893E-3</v>
      </c>
      <c r="H12" s="301">
        <v>2.5869425789905712E-2</v>
      </c>
      <c r="I12" s="301">
        <v>3.5536391590784401E-2</v>
      </c>
      <c r="J12" s="301">
        <v>4.4976926232930675E-3</v>
      </c>
      <c r="K12" s="847" t="s">
        <v>655</v>
      </c>
      <c r="L12" s="301">
        <v>4.4976926232930675E-3</v>
      </c>
      <c r="M12" s="301">
        <v>1.3189690203698639E-4</v>
      </c>
      <c r="N12" s="301">
        <v>3.5002622887836448E-4</v>
      </c>
      <c r="O12" s="301">
        <v>4.8192313091535092E-4</v>
      </c>
      <c r="P12" s="301">
        <v>7.0281231283245008E-4</v>
      </c>
      <c r="Q12" s="301">
        <v>1.4708658706751147E-2</v>
      </c>
      <c r="R12" s="301">
        <v>1.5411471019583596E-2</v>
      </c>
      <c r="S12" s="301">
        <v>1.90485268944631E-3</v>
      </c>
      <c r="T12" s="301">
        <v>3.184565392718415E-3</v>
      </c>
      <c r="U12" s="301">
        <v>5.0894180821647247E-3</v>
      </c>
    </row>
    <row r="13" spans="1:21" ht="26.25" customHeight="1">
      <c r="B13" s="296"/>
      <c r="C13" s="299" t="s">
        <v>239</v>
      </c>
      <c r="D13" s="848" t="s">
        <v>655</v>
      </c>
      <c r="E13" s="848" t="s">
        <v>655</v>
      </c>
      <c r="F13" s="848" t="s">
        <v>655</v>
      </c>
      <c r="G13" s="849">
        <v>8.5061861238585768E-3</v>
      </c>
      <c r="H13" s="848" t="s">
        <v>655</v>
      </c>
      <c r="I13" s="849">
        <v>8.5061861238585768E-3</v>
      </c>
      <c r="J13" s="848" t="s">
        <v>655</v>
      </c>
      <c r="K13" s="848" t="s">
        <v>655</v>
      </c>
      <c r="L13" s="848" t="s">
        <v>655</v>
      </c>
      <c r="M13" s="848" t="s">
        <v>655</v>
      </c>
      <c r="N13" s="848" t="s">
        <v>655</v>
      </c>
      <c r="O13" s="848" t="s">
        <v>655</v>
      </c>
      <c r="P13" s="848" t="s">
        <v>655</v>
      </c>
      <c r="Q13" s="848" t="s">
        <v>655</v>
      </c>
      <c r="R13" s="848" t="s">
        <v>655</v>
      </c>
      <c r="S13" s="848" t="s">
        <v>655</v>
      </c>
      <c r="T13" s="848" t="s">
        <v>655</v>
      </c>
      <c r="U13" s="848" t="s">
        <v>655</v>
      </c>
    </row>
    <row r="14" spans="1:21" ht="13.5">
      <c r="B14" s="299"/>
      <c r="C14" s="296" t="s">
        <v>9</v>
      </c>
      <c r="D14" s="301">
        <v>0.51302532298133852</v>
      </c>
      <c r="E14" s="301">
        <v>0.17239802153359213</v>
      </c>
      <c r="F14" s="301">
        <v>0.68542334451493059</v>
      </c>
      <c r="G14" s="301">
        <v>0.40280291243306698</v>
      </c>
      <c r="H14" s="301">
        <v>0.39331409704707748</v>
      </c>
      <c r="I14" s="301">
        <v>0.79611700948014441</v>
      </c>
      <c r="J14" s="301">
        <v>0.25681501411820673</v>
      </c>
      <c r="K14" s="301">
        <v>0.24367128922631173</v>
      </c>
      <c r="L14" s="301">
        <v>0.50048630334451838</v>
      </c>
      <c r="M14" s="301">
        <v>0.27138760522952121</v>
      </c>
      <c r="N14" s="301">
        <v>0.18963676228508944</v>
      </c>
      <c r="O14" s="301">
        <v>0.46102436751461068</v>
      </c>
      <c r="P14" s="301">
        <v>0.20948586209575859</v>
      </c>
      <c r="Q14" s="301">
        <v>0.24409139526225318</v>
      </c>
      <c r="R14" s="301">
        <v>0.4535772573580118</v>
      </c>
      <c r="S14" s="301">
        <v>0.19173253645730468</v>
      </c>
      <c r="T14" s="301">
        <v>0.27761125707749024</v>
      </c>
      <c r="U14" s="301">
        <v>0.46934379353479494</v>
      </c>
    </row>
    <row r="15" spans="1:21" ht="13.5">
      <c r="C15" s="296" t="s">
        <v>10</v>
      </c>
      <c r="D15" s="301">
        <v>3.8566496688353553E-2</v>
      </c>
      <c r="E15" s="301">
        <v>0</v>
      </c>
      <c r="F15" s="301">
        <v>3.8566496688353553E-2</v>
      </c>
      <c r="G15" s="301">
        <v>3.7026985875477939E-2</v>
      </c>
      <c r="H15" s="301">
        <v>0</v>
      </c>
      <c r="I15" s="301">
        <v>3.7026985875477939E-2</v>
      </c>
      <c r="J15" s="301">
        <v>3.21898439116843E-2</v>
      </c>
      <c r="K15" s="301">
        <v>0</v>
      </c>
      <c r="L15" s="301">
        <v>3.21898439116843E-2</v>
      </c>
      <c r="M15" s="301">
        <v>2.5190570496575464E-2</v>
      </c>
      <c r="N15" s="301">
        <v>4.9194086311480853E-4</v>
      </c>
      <c r="O15" s="301">
        <v>2.5682511359690276E-2</v>
      </c>
      <c r="P15" s="301">
        <v>2.3405692742512491E-2</v>
      </c>
      <c r="Q15" s="301">
        <v>4.9500888691761554E-4</v>
      </c>
      <c r="R15" s="301">
        <v>2.3900701629430105E-2</v>
      </c>
      <c r="S15" s="301">
        <v>2.7926360222310008E-2</v>
      </c>
      <c r="T15" s="301">
        <v>1.9171612680229111E-4</v>
      </c>
      <c r="U15" s="301">
        <v>2.81180763491123E-2</v>
      </c>
    </row>
    <row r="16" spans="1:21" ht="19.5" customHeight="1">
      <c r="B16" s="296"/>
      <c r="C16" s="298" t="s">
        <v>235</v>
      </c>
      <c r="D16" s="301">
        <v>0.24636420446091625</v>
      </c>
      <c r="E16" s="301">
        <v>0.15749123732489301</v>
      </c>
      <c r="F16" s="301">
        <v>0.40385544178580934</v>
      </c>
      <c r="G16" s="301">
        <v>0.23974960339907198</v>
      </c>
      <c r="H16" s="301">
        <v>3.9828634374348748E-2</v>
      </c>
      <c r="I16" s="301">
        <v>0.27957823777342072</v>
      </c>
      <c r="J16" s="301">
        <v>0.15092032924141588</v>
      </c>
      <c r="K16" s="301">
        <v>1.4508998950697296E-2</v>
      </c>
      <c r="L16" s="301">
        <v>0.16542932819211317</v>
      </c>
      <c r="M16" s="301">
        <v>0.13967524969153361</v>
      </c>
      <c r="N16" s="301">
        <v>5.7380663332028042E-2</v>
      </c>
      <c r="O16" s="301">
        <v>0.19705591302356168</v>
      </c>
      <c r="P16" s="301">
        <v>0.14599219932232999</v>
      </c>
      <c r="Q16" s="301">
        <v>0.14060891783567134</v>
      </c>
      <c r="R16" s="301">
        <v>0.28660111715800135</v>
      </c>
      <c r="S16" s="301">
        <v>0.11223646739965329</v>
      </c>
      <c r="T16" s="301">
        <v>7.5714076387517287E-2</v>
      </c>
      <c r="U16" s="301">
        <v>0.18795054378717055</v>
      </c>
    </row>
    <row r="17" spans="1:21" s="142" customFormat="1" ht="16.5" customHeight="1">
      <c r="B17" s="294" t="s">
        <v>212</v>
      </c>
      <c r="C17" s="296"/>
      <c r="D17" s="300">
        <v>0.20706116626764598</v>
      </c>
      <c r="E17" s="300">
        <v>1.3877757899933725</v>
      </c>
      <c r="F17" s="300">
        <v>1.5948369562610181</v>
      </c>
      <c r="G17" s="300">
        <v>0.24066762928339636</v>
      </c>
      <c r="H17" s="300">
        <v>1.4456099944284482</v>
      </c>
      <c r="I17" s="300">
        <v>1.6862776237118446</v>
      </c>
      <c r="J17" s="300">
        <v>0.2931492853121237</v>
      </c>
      <c r="K17" s="300">
        <v>0.69989881883688265</v>
      </c>
      <c r="L17" s="300">
        <v>0.99304810414900624</v>
      </c>
      <c r="M17" s="300">
        <v>0.20874016731069028</v>
      </c>
      <c r="N17" s="300">
        <v>0.61741587423437527</v>
      </c>
      <c r="O17" s="300">
        <v>0.82615604154506561</v>
      </c>
      <c r="P17" s="300">
        <v>0.12069598382548619</v>
      </c>
      <c r="Q17" s="300">
        <v>0.66153216517040547</v>
      </c>
      <c r="R17" s="300">
        <v>0.78222814899589177</v>
      </c>
      <c r="S17" s="300">
        <v>0.12138365179296422</v>
      </c>
      <c r="T17" s="300">
        <v>0.48071821087629207</v>
      </c>
      <c r="U17" s="300">
        <v>0.60210186266925625</v>
      </c>
    </row>
    <row r="18" spans="1:21" ht="13.5">
      <c r="B18" s="296"/>
      <c r="C18" s="296" t="s">
        <v>12</v>
      </c>
      <c r="D18" s="301">
        <v>7.6717439233880247E-2</v>
      </c>
      <c r="E18" s="301">
        <v>0</v>
      </c>
      <c r="F18" s="301">
        <v>7.6717439233880247E-2</v>
      </c>
      <c r="G18" s="301">
        <v>7.1309012729507543E-2</v>
      </c>
      <c r="H18" s="301">
        <v>0</v>
      </c>
      <c r="I18" s="301">
        <v>7.1309012729507543E-2</v>
      </c>
      <c r="J18" s="301">
        <v>4.7765489922700161E-2</v>
      </c>
      <c r="K18" s="301">
        <v>0</v>
      </c>
      <c r="L18" s="301">
        <v>4.7765489922700161E-2</v>
      </c>
      <c r="M18" s="301">
        <v>1.2589825079240767E-2</v>
      </c>
      <c r="N18" s="301">
        <v>0</v>
      </c>
      <c r="O18" s="301">
        <v>1.2589825079240767E-2</v>
      </c>
      <c r="P18" s="301">
        <v>9.3276342669183273E-3</v>
      </c>
      <c r="Q18" s="301">
        <v>1.9629566078845897E-4</v>
      </c>
      <c r="R18" s="301">
        <v>9.5239299277067885E-3</v>
      </c>
      <c r="S18" s="301">
        <v>4.7762487655540198E-3</v>
      </c>
      <c r="T18" s="301">
        <v>1.2070138477406894E-4</v>
      </c>
      <c r="U18" s="301">
        <v>4.8969501503280891E-3</v>
      </c>
    </row>
    <row r="19" spans="1:21" ht="13.5">
      <c r="B19" s="296"/>
      <c r="C19" s="296" t="s">
        <v>13</v>
      </c>
      <c r="D19" s="301">
        <v>3.7340898946314809E-2</v>
      </c>
      <c r="E19" s="301">
        <v>1.1925963849174679</v>
      </c>
      <c r="F19" s="301">
        <v>1.2299372838637828</v>
      </c>
      <c r="G19" s="301">
        <v>2.9897861970117769E-2</v>
      </c>
      <c r="H19" s="301">
        <v>0.859936403499445</v>
      </c>
      <c r="I19" s="301">
        <v>0.88983426546956279</v>
      </c>
      <c r="J19" s="301">
        <v>0.14096475214308277</v>
      </c>
      <c r="K19" s="301">
        <v>0.24940992879990997</v>
      </c>
      <c r="L19" s="301">
        <v>0.39037468094299277</v>
      </c>
      <c r="M19" s="301">
        <v>2.6031105491809935E-2</v>
      </c>
      <c r="N19" s="301">
        <v>0.2087364107811773</v>
      </c>
      <c r="O19" s="301">
        <v>0.23476751627298725</v>
      </c>
      <c r="P19" s="301">
        <v>2.8198725204852351E-2</v>
      </c>
      <c r="Q19" s="301">
        <v>0.23251413100838186</v>
      </c>
      <c r="R19" s="301">
        <v>0.2607128562132342</v>
      </c>
      <c r="S19" s="301">
        <v>2.5723195322272699E-2</v>
      </c>
      <c r="T19" s="301">
        <v>6.8111435688107624E-2</v>
      </c>
      <c r="U19" s="301">
        <v>9.3834631010380309E-2</v>
      </c>
    </row>
    <row r="20" spans="1:21" ht="13.5">
      <c r="B20" s="296"/>
      <c r="C20" s="296" t="s">
        <v>14</v>
      </c>
      <c r="D20" s="301">
        <v>6.1342577313080203E-2</v>
      </c>
      <c r="E20" s="301">
        <v>0.19517940507590412</v>
      </c>
      <c r="F20" s="301">
        <v>0.25652198238898433</v>
      </c>
      <c r="G20" s="301">
        <v>0.13946075458377105</v>
      </c>
      <c r="H20" s="301">
        <v>0.58567359092900317</v>
      </c>
      <c r="I20" s="301">
        <v>0.72513434551277411</v>
      </c>
      <c r="J20" s="301">
        <v>8.2634212024320683E-2</v>
      </c>
      <c r="K20" s="301">
        <v>0.45048889003697268</v>
      </c>
      <c r="L20" s="301">
        <v>0.53312310206129332</v>
      </c>
      <c r="M20" s="301">
        <v>0.1597243369635086</v>
      </c>
      <c r="N20" s="301">
        <v>0.40867946345319806</v>
      </c>
      <c r="O20" s="301">
        <v>0.56840380041670657</v>
      </c>
      <c r="P20" s="301">
        <v>7.4599880601267154E-2</v>
      </c>
      <c r="Q20" s="301">
        <v>0.42882173850123512</v>
      </c>
      <c r="R20" s="301">
        <v>0.50342161910250227</v>
      </c>
      <c r="S20" s="301">
        <v>7.9826280531963917E-2</v>
      </c>
      <c r="T20" s="301">
        <v>0.41248607380341046</v>
      </c>
      <c r="U20" s="301">
        <v>0.49231235433537429</v>
      </c>
    </row>
    <row r="21" spans="1:21" ht="13.5">
      <c r="B21" s="296"/>
      <c r="C21" s="298" t="s">
        <v>236</v>
      </c>
      <c r="D21" s="301">
        <v>3.16602507743707E-2</v>
      </c>
      <c r="E21" s="301">
        <v>0</v>
      </c>
      <c r="F21" s="301">
        <v>3.16602507743707E-2</v>
      </c>
      <c r="G21" s="301">
        <v>0</v>
      </c>
      <c r="H21" s="301">
        <v>0</v>
      </c>
      <c r="I21" s="301">
        <v>0</v>
      </c>
      <c r="J21" s="301">
        <v>2.1784831222020108E-2</v>
      </c>
      <c r="K21" s="301">
        <v>0</v>
      </c>
      <c r="L21" s="301">
        <v>2.1784831222020108E-2</v>
      </c>
      <c r="M21" s="301">
        <v>1.0394899776130982E-2</v>
      </c>
      <c r="N21" s="301">
        <v>0</v>
      </c>
      <c r="O21" s="301">
        <v>1.0394899776130982E-2</v>
      </c>
      <c r="P21" s="301">
        <v>8.5697437524483531E-3</v>
      </c>
      <c r="Q21" s="301">
        <v>0</v>
      </c>
      <c r="R21" s="301">
        <v>8.5697437524483531E-3</v>
      </c>
      <c r="S21" s="301">
        <v>1.105792717317357E-2</v>
      </c>
      <c r="T21" s="301">
        <v>0</v>
      </c>
      <c r="U21" s="301">
        <v>1.105792717317357E-2</v>
      </c>
    </row>
    <row r="22" spans="1:21" ht="13.5">
      <c r="B22" s="302" t="s">
        <v>237</v>
      </c>
      <c r="C22" s="172"/>
      <c r="D22" s="303">
        <v>1.0096938483631133</v>
      </c>
      <c r="E22" s="303">
        <v>1.7544358215994194</v>
      </c>
      <c r="F22" s="303">
        <v>2.7641296699625331</v>
      </c>
      <c r="G22" s="303">
        <v>0.93853724297495356</v>
      </c>
      <c r="H22" s="303">
        <v>1.9046221516397799</v>
      </c>
      <c r="I22" s="303">
        <v>2.8431593946147338</v>
      </c>
      <c r="J22" s="303">
        <v>0.73757216520672375</v>
      </c>
      <c r="K22" s="303">
        <v>0.95807910701389176</v>
      </c>
      <c r="L22" s="303">
        <v>1.6956512722206152</v>
      </c>
      <c r="M22" s="303">
        <v>0.64512548963035743</v>
      </c>
      <c r="N22" s="303">
        <v>0.865275266943486</v>
      </c>
      <c r="O22" s="303">
        <v>1.5104007565738438</v>
      </c>
      <c r="P22" s="303">
        <v>0.50028255029891977</v>
      </c>
      <c r="Q22" s="303">
        <v>1.0614361458619987</v>
      </c>
      <c r="R22" s="303">
        <v>1.5617186961609184</v>
      </c>
      <c r="S22" s="303">
        <v>0.45518386856167847</v>
      </c>
      <c r="T22" s="303">
        <v>0.83741982586082031</v>
      </c>
      <c r="U22" s="303">
        <v>1.2926036944224992</v>
      </c>
    </row>
    <row r="23" spans="1:21">
      <c r="A23" s="308" t="s">
        <v>240</v>
      </c>
    </row>
    <row r="24" spans="1:21">
      <c r="A24" s="270" t="s">
        <v>214</v>
      </c>
    </row>
    <row r="26" spans="1:21">
      <c r="A26" s="40" t="s">
        <v>170</v>
      </c>
    </row>
    <row r="27" spans="1:21">
      <c r="A27" s="29"/>
      <c r="B27" s="29"/>
      <c r="C27" s="44"/>
      <c r="D27" s="29"/>
      <c r="E27" s="114"/>
      <c r="F27" s="273"/>
      <c r="G27" s="273"/>
      <c r="H27" s="273"/>
    </row>
    <row r="28" spans="1:21">
      <c r="A28" s="49"/>
      <c r="B28" s="49"/>
      <c r="C28" s="270" t="s">
        <v>656</v>
      </c>
    </row>
    <row r="29" spans="1:21">
      <c r="A29" s="49"/>
      <c r="B29" s="49"/>
    </row>
    <row r="30" spans="1:21">
      <c r="A30" s="49"/>
      <c r="B30" s="49"/>
    </row>
    <row r="31" spans="1:21">
      <c r="A31" s="49"/>
      <c r="B31" s="295"/>
      <c r="C31" s="295"/>
      <c r="D31" s="295"/>
      <c r="E31" s="295"/>
      <c r="F31" s="295"/>
      <c r="G31" s="295"/>
      <c r="H31" s="295"/>
      <c r="I31" s="295"/>
      <c r="J31" s="295"/>
      <c r="K31" s="295"/>
      <c r="L31" s="295"/>
      <c r="M31" s="295"/>
      <c r="N31" s="295"/>
      <c r="O31" s="295"/>
      <c r="P31" s="295"/>
      <c r="Q31" s="295"/>
      <c r="R31" s="295"/>
      <c r="S31" s="295"/>
    </row>
    <row r="32" spans="1:21">
      <c r="B32" s="295"/>
      <c r="C32" s="295"/>
      <c r="D32" s="295"/>
      <c r="E32" s="295"/>
      <c r="F32" s="295"/>
      <c r="G32" s="295"/>
      <c r="H32" s="295"/>
      <c r="I32" s="295"/>
      <c r="J32" s="295"/>
      <c r="K32" s="295"/>
      <c r="L32" s="295"/>
      <c r="M32" s="295"/>
      <c r="N32" s="295"/>
      <c r="O32" s="295"/>
      <c r="P32" s="295"/>
      <c r="Q32" s="295"/>
      <c r="R32" s="295"/>
      <c r="S32" s="295"/>
    </row>
    <row r="33" spans="1:21">
      <c r="A33" s="330"/>
    </row>
    <row r="34" spans="1:21">
      <c r="A34" s="330"/>
    </row>
    <row r="35" spans="1:21" ht="13.5">
      <c r="A35" s="294"/>
    </row>
    <row r="36" spans="1:21" ht="13.5">
      <c r="A36" s="296"/>
    </row>
    <row r="37" spans="1:21" ht="13.5">
      <c r="A37" s="296"/>
    </row>
    <row r="38" spans="1:21" ht="13.5">
      <c r="A38" s="296"/>
      <c r="U38" s="278"/>
    </row>
    <row r="39" spans="1:21" ht="13.5">
      <c r="A39" s="296"/>
    </row>
    <row r="40" spans="1:21" ht="13.5">
      <c r="A40" s="296"/>
    </row>
    <row r="41" spans="1:21" ht="13.5">
      <c r="A41" s="294"/>
    </row>
    <row r="42" spans="1:21" ht="13.5">
      <c r="A42" s="296"/>
    </row>
    <row r="43" spans="1:21" ht="13.5">
      <c r="A43" s="296"/>
    </row>
    <row r="44" spans="1:21" ht="13.5">
      <c r="A44" s="296"/>
    </row>
    <row r="45" spans="1:21" ht="13.5">
      <c r="A45" s="296"/>
    </row>
    <row r="46" spans="1:21" ht="13.5">
      <c r="A46" s="294"/>
    </row>
  </sheetData>
  <mergeCells count="6">
    <mergeCell ref="B9:C10"/>
    <mergeCell ref="A6:U6"/>
    <mergeCell ref="A3:U3"/>
    <mergeCell ref="A4:U4"/>
    <mergeCell ref="A5:U5"/>
    <mergeCell ref="A7:U7"/>
  </mergeCells>
  <hyperlinks>
    <hyperlink ref="A1" location="Indice!A1" display="Cuadro 16. Gasto ambiental del gobierno central  como porcentaje del presupuesto general  de egresos, según clasificación económica presupuestaria, precios corrientes, sin agua y saneamiento"/>
  </hyperlinks>
  <pageMargins left="0.7" right="0.7" top="0.75" bottom="0.75" header="0.3" footer="0.3"/>
  <pageSetup paperSize="9" scale="52" orientation="portrait" r:id="rId1"/>
</worksheet>
</file>

<file path=xl/worksheets/sheet2.xml><?xml version="1.0" encoding="utf-8"?>
<worksheet xmlns="http://schemas.openxmlformats.org/spreadsheetml/2006/main" xmlns:r="http://schemas.openxmlformats.org/officeDocument/2006/relationships">
  <sheetPr>
    <pageSetUpPr fitToPage="1"/>
  </sheetPr>
  <dimension ref="I31:I51"/>
  <sheetViews>
    <sheetView showGridLines="0" workbookViewId="0">
      <selection activeCell="E28" sqref="E28"/>
    </sheetView>
  </sheetViews>
  <sheetFormatPr baseColWidth="10" defaultRowHeight="12.75"/>
  <cols>
    <col min="1" max="16384" width="12" style="485"/>
  </cols>
  <sheetData>
    <row r="31" spans="9:9" ht="15">
      <c r="I31" s="496" t="s">
        <v>473</v>
      </c>
    </row>
    <row r="32" spans="9:9" ht="14.25">
      <c r="I32" s="497" t="s">
        <v>474</v>
      </c>
    </row>
    <row r="33" spans="9:9" ht="14.25">
      <c r="I33" s="497"/>
    </row>
    <row r="34" spans="9:9" ht="15">
      <c r="I34" s="496" t="s">
        <v>475</v>
      </c>
    </row>
    <row r="35" spans="9:9" ht="14.25">
      <c r="I35" s="497" t="s">
        <v>476</v>
      </c>
    </row>
    <row r="36" spans="9:9" ht="14.25">
      <c r="I36" s="497"/>
    </row>
    <row r="37" spans="9:9" ht="15">
      <c r="I37" s="496" t="s">
        <v>477</v>
      </c>
    </row>
    <row r="38" spans="9:9" ht="14.25">
      <c r="I38" s="497" t="s">
        <v>478</v>
      </c>
    </row>
    <row r="39" spans="9:9" ht="14.25">
      <c r="I39" s="497" t="s">
        <v>479</v>
      </c>
    </row>
    <row r="40" spans="9:9" ht="14.25">
      <c r="I40" s="497" t="s">
        <v>480</v>
      </c>
    </row>
    <row r="41" spans="9:9" ht="14.25">
      <c r="I41" s="497" t="s">
        <v>481</v>
      </c>
    </row>
    <row r="42" spans="9:9" ht="14.25">
      <c r="I42" s="497" t="s">
        <v>482</v>
      </c>
    </row>
    <row r="43" spans="9:9" ht="14.25">
      <c r="I43" s="497" t="s">
        <v>483</v>
      </c>
    </row>
    <row r="44" spans="9:9" ht="14.25">
      <c r="I44" s="497" t="s">
        <v>484</v>
      </c>
    </row>
    <row r="45" spans="9:9" ht="14.25">
      <c r="I45" s="497"/>
    </row>
    <row r="46" spans="9:9" ht="15">
      <c r="I46" s="496" t="s">
        <v>485</v>
      </c>
    </row>
    <row r="47" spans="9:9" ht="14.25">
      <c r="I47" s="497" t="s">
        <v>486</v>
      </c>
    </row>
    <row r="48" spans="9:9" ht="14.25">
      <c r="I48" s="497" t="s">
        <v>487</v>
      </c>
    </row>
    <row r="49" spans="9:9" ht="14.25">
      <c r="I49" s="497" t="s">
        <v>488</v>
      </c>
    </row>
    <row r="50" spans="9:9" ht="14.25">
      <c r="I50" s="497" t="s">
        <v>489</v>
      </c>
    </row>
    <row r="51" spans="9:9" ht="14.25">
      <c r="I51" s="497" t="s">
        <v>490</v>
      </c>
    </row>
  </sheetData>
  <pageMargins left="0.7" right="0.7" top="0.75" bottom="0.75" header="0.3" footer="0.3"/>
  <pageSetup orientation="portrait" r:id="rId1"/>
</worksheet>
</file>

<file path=xl/worksheets/sheet20.xml><?xml version="1.0" encoding="utf-8"?>
<worksheet xmlns="http://schemas.openxmlformats.org/spreadsheetml/2006/main" xmlns:r="http://schemas.openxmlformats.org/officeDocument/2006/relationships">
  <sheetPr>
    <tabColor theme="3" tint="0.39997558519241921"/>
    <pageSetUpPr fitToPage="1"/>
  </sheetPr>
  <dimension ref="A1:J30"/>
  <sheetViews>
    <sheetView showGridLines="0" topLeftCell="A4" workbookViewId="0">
      <selection activeCell="A4" sqref="A4:H4"/>
    </sheetView>
  </sheetViews>
  <sheetFormatPr baseColWidth="10" defaultRowHeight="12.75"/>
  <cols>
    <col min="1" max="1" width="2.5" style="278" customWidth="1"/>
    <col min="2" max="2" width="49.83203125" customWidth="1"/>
    <col min="3" max="3" width="13.6640625" customWidth="1"/>
  </cols>
  <sheetData>
    <row r="1" spans="1:10" s="49" customFormat="1" hidden="1">
      <c r="A1" s="45" t="s">
        <v>307</v>
      </c>
      <c r="C1" s="124"/>
      <c r="D1" s="124"/>
      <c r="E1" s="124"/>
      <c r="F1" s="124"/>
      <c r="G1" s="124"/>
      <c r="H1" s="124"/>
    </row>
    <row r="2" spans="1:10" s="280" customFormat="1" ht="12.75" hidden="1" customHeight="1"/>
    <row r="3" spans="1:10" s="280" customFormat="1" hidden="1"/>
    <row r="4" spans="1:10" s="49" customFormat="1">
      <c r="A4" s="549" t="s">
        <v>186</v>
      </c>
      <c r="B4" s="549"/>
      <c r="C4" s="549"/>
      <c r="D4" s="549"/>
      <c r="E4" s="549"/>
      <c r="F4" s="549"/>
      <c r="G4" s="549"/>
      <c r="H4" s="549"/>
    </row>
    <row r="5" spans="1:10" s="49" customFormat="1">
      <c r="B5" s="545" t="s">
        <v>258</v>
      </c>
      <c r="C5" s="545"/>
      <c r="D5" s="545"/>
      <c r="E5" s="545"/>
      <c r="F5" s="545"/>
      <c r="G5" s="545"/>
      <c r="H5" s="545"/>
    </row>
    <row r="6" spans="1:10" s="49" customFormat="1">
      <c r="B6" s="545"/>
      <c r="C6" s="545"/>
      <c r="D6" s="545"/>
      <c r="E6" s="545"/>
      <c r="F6" s="545"/>
      <c r="G6" s="545"/>
      <c r="H6" s="545"/>
    </row>
    <row r="7" spans="1:10" s="49" customFormat="1">
      <c r="A7" s="546" t="s">
        <v>17</v>
      </c>
      <c r="B7" s="546"/>
      <c r="C7" s="546"/>
      <c r="D7" s="546"/>
      <c r="E7" s="546"/>
      <c r="F7" s="546"/>
      <c r="G7" s="546"/>
      <c r="H7" s="546"/>
    </row>
    <row r="8" spans="1:10" s="49" customFormat="1" ht="11.25" customHeight="1">
      <c r="A8" s="546" t="s">
        <v>246</v>
      </c>
      <c r="B8" s="546"/>
      <c r="C8" s="546"/>
      <c r="D8" s="546"/>
      <c r="E8" s="546"/>
      <c r="F8" s="546"/>
      <c r="G8" s="546"/>
      <c r="H8" s="546"/>
    </row>
    <row r="9" spans="1:10" s="49" customFormat="1" ht="11.25" customHeight="1">
      <c r="A9" s="675" t="s">
        <v>29</v>
      </c>
      <c r="B9" s="675"/>
      <c r="C9" s="675"/>
      <c r="D9" s="675"/>
      <c r="E9" s="675"/>
      <c r="F9" s="675"/>
      <c r="G9" s="675"/>
      <c r="H9" s="675"/>
    </row>
    <row r="10" spans="1:10" s="49" customFormat="1" ht="11.25" customHeight="1"/>
    <row r="11" spans="1:10" s="49" customFormat="1" ht="12" customHeight="1">
      <c r="A11" s="600" t="s">
        <v>157</v>
      </c>
      <c r="B11" s="648"/>
      <c r="C11" s="620" t="s">
        <v>34</v>
      </c>
      <c r="D11" s="620"/>
      <c r="E11" s="620"/>
      <c r="F11" s="620"/>
      <c r="G11" s="620"/>
      <c r="H11" s="620"/>
    </row>
    <row r="12" spans="1:10" s="49" customFormat="1" ht="12" customHeight="1">
      <c r="A12" s="647"/>
      <c r="B12" s="647"/>
      <c r="C12" s="698">
        <v>2001</v>
      </c>
      <c r="D12" s="698">
        <v>2002</v>
      </c>
      <c r="E12" s="698">
        <v>2003</v>
      </c>
      <c r="F12" s="698">
        <v>2004</v>
      </c>
      <c r="G12" s="698">
        <v>2005</v>
      </c>
      <c r="H12" s="698">
        <v>2006</v>
      </c>
    </row>
    <row r="13" spans="1:10" s="49" customFormat="1" ht="16.5" customHeight="1">
      <c r="A13" s="169" t="s">
        <v>242</v>
      </c>
    </row>
    <row r="14" spans="1:10" s="49" customFormat="1" ht="12" customHeight="1">
      <c r="B14" s="170" t="s">
        <v>20</v>
      </c>
      <c r="C14" s="141">
        <v>4.1447489608640337E-2</v>
      </c>
      <c r="D14" s="141">
        <v>3.5536410678776116E-2</v>
      </c>
      <c r="E14" s="141">
        <v>4.4976976862955084E-3</v>
      </c>
      <c r="F14" s="141">
        <v>4.8192359811689828E-4</v>
      </c>
      <c r="G14" s="141">
        <v>1.5411447597452329E-2</v>
      </c>
      <c r="H14" s="141">
        <v>5.0894145228163826E-3</v>
      </c>
    </row>
    <row r="15" spans="1:10" s="49" customFormat="1" ht="15" customHeight="1">
      <c r="B15" s="170" t="s">
        <v>25</v>
      </c>
      <c r="C15" s="141">
        <v>0</v>
      </c>
      <c r="D15" s="141">
        <v>8.6231508148921464E-3</v>
      </c>
      <c r="E15" s="141">
        <v>0</v>
      </c>
      <c r="F15" s="141">
        <v>0</v>
      </c>
      <c r="G15" s="141">
        <v>0</v>
      </c>
      <c r="H15" s="141">
        <v>0</v>
      </c>
      <c r="J15" s="146"/>
    </row>
    <row r="16" spans="1:10" s="49" customFormat="1" ht="17.25" customHeight="1">
      <c r="B16" s="170" t="s">
        <v>21</v>
      </c>
      <c r="C16" s="141">
        <v>0.68542431849191576</v>
      </c>
      <c r="D16" s="141">
        <v>0.79611743710586014</v>
      </c>
      <c r="E16" s="141">
        <v>0.50048686673637011</v>
      </c>
      <c r="F16" s="141">
        <v>0.46102481445580112</v>
      </c>
      <c r="G16" s="141">
        <v>0.45357656801784108</v>
      </c>
      <c r="H16" s="141">
        <v>0.46934346529332888</v>
      </c>
    </row>
    <row r="17" spans="1:9" s="49" customFormat="1">
      <c r="B17" s="170" t="s">
        <v>26</v>
      </c>
      <c r="C17" s="141">
        <v>3.85665514908059E-2</v>
      </c>
      <c r="D17" s="141">
        <v>3.7027005764126403E-2</v>
      </c>
      <c r="E17" s="141">
        <v>3.2189880147432702E-2</v>
      </c>
      <c r="F17" s="141">
        <v>2.5682536257663167E-2</v>
      </c>
      <c r="G17" s="141">
        <v>2.3900665305488657E-2</v>
      </c>
      <c r="H17" s="141">
        <v>2.8118056684383094E-2</v>
      </c>
    </row>
    <row r="18" spans="1:9" s="49" customFormat="1">
      <c r="B18" s="170" t="s">
        <v>22</v>
      </c>
      <c r="C18" s="141">
        <v>0.40385601565874313</v>
      </c>
      <c r="D18" s="141">
        <v>0.27957838794587353</v>
      </c>
      <c r="E18" s="141">
        <v>0.16542951441406353</v>
      </c>
      <c r="F18" s="141">
        <v>0.19705610405989418</v>
      </c>
      <c r="G18" s="141">
        <v>0.28660068158575913</v>
      </c>
      <c r="H18" s="141">
        <v>0.18795041234160142</v>
      </c>
    </row>
    <row r="19" spans="1:9" s="49" customFormat="1">
      <c r="A19" s="95" t="s">
        <v>556</v>
      </c>
      <c r="C19" s="28">
        <f t="shared" ref="C19:H19" si="0">SUM(C14:C18)</f>
        <v>1.169294375250105</v>
      </c>
      <c r="D19" s="28">
        <f t="shared" si="0"/>
        <v>1.1568823923095284</v>
      </c>
      <c r="E19" s="28">
        <f t="shared" si="0"/>
        <v>0.70260395898416184</v>
      </c>
      <c r="F19" s="28">
        <f t="shared" si="0"/>
        <v>0.68424537837147537</v>
      </c>
      <c r="G19" s="28">
        <f t="shared" si="0"/>
        <v>0.77948936250654122</v>
      </c>
      <c r="H19" s="28">
        <f t="shared" si="0"/>
        <v>0.69050134884212966</v>
      </c>
    </row>
    <row r="20" spans="1:9" s="49" customFormat="1">
      <c r="A20" s="305" t="s">
        <v>243</v>
      </c>
    </row>
    <row r="21" spans="1:9" s="49" customFormat="1">
      <c r="B21" s="168" t="s">
        <v>12</v>
      </c>
      <c r="C21" s="141">
        <v>7.6717548248288303E-2</v>
      </c>
      <c r="D21" s="141">
        <v>7.1309051032379139E-2</v>
      </c>
      <c r="E21" s="141">
        <v>4.776554369177962E-2</v>
      </c>
      <c r="F21" s="141">
        <v>1.2589837284477205E-2</v>
      </c>
      <c r="G21" s="141">
        <v>9.5239154533755151E-3</v>
      </c>
      <c r="H21" s="141">
        <v>4.896946725584609E-3</v>
      </c>
    </row>
    <row r="22" spans="1:9" s="49" customFormat="1">
      <c r="B22" s="168" t="s">
        <v>13</v>
      </c>
      <c r="C22" s="141">
        <v>1.2299390315874597</v>
      </c>
      <c r="D22" s="141">
        <v>0.88983474343449753</v>
      </c>
      <c r="E22" s="141">
        <v>0.39037512038341876</v>
      </c>
      <c r="F22" s="141">
        <v>0.23476774386892493</v>
      </c>
      <c r="G22" s="141">
        <v>0.26071245998559744</v>
      </c>
      <c r="H22" s="141">
        <v>9.3834565385954721E-2</v>
      </c>
    </row>
    <row r="23" spans="1:9">
      <c r="A23" s="49"/>
      <c r="B23" s="168" t="s">
        <v>14</v>
      </c>
      <c r="C23" s="141">
        <v>0.25652234690313319</v>
      </c>
      <c r="D23" s="141">
        <v>0.72513473501091297</v>
      </c>
      <c r="E23" s="141">
        <v>0.53312370219202532</v>
      </c>
      <c r="F23" s="141">
        <v>0.56840435145714863</v>
      </c>
      <c r="G23" s="141">
        <v>0.50342085400959025</v>
      </c>
      <c r="H23" s="141">
        <v>0.49231201003055725</v>
      </c>
      <c r="I23" s="49"/>
    </row>
    <row r="24" spans="1:9">
      <c r="A24" s="49"/>
      <c r="B24" s="171" t="s">
        <v>15</v>
      </c>
      <c r="C24" s="141">
        <v>3.1660295763144199E-2</v>
      </c>
      <c r="D24" s="141">
        <v>0</v>
      </c>
      <c r="E24" s="141">
        <v>2.178485574496173E-2</v>
      </c>
      <c r="F24" s="141">
        <v>1.0394909853491766E-2</v>
      </c>
      <c r="G24" s="141">
        <v>8.5697307282754619E-3</v>
      </c>
      <c r="H24" s="141">
        <v>1.105791943967357E-2</v>
      </c>
      <c r="I24" s="49"/>
    </row>
    <row r="25" spans="1:9">
      <c r="A25" s="79" t="s">
        <v>557</v>
      </c>
      <c r="B25" s="49"/>
      <c r="C25" s="28">
        <v>1.5948392225020254</v>
      </c>
      <c r="D25" s="28">
        <v>1.6862785294777898</v>
      </c>
      <c r="E25" s="28">
        <v>0.9930492220121856</v>
      </c>
      <c r="F25" s="28">
        <v>0.82615684246404253</v>
      </c>
      <c r="G25" s="28">
        <v>0.78222696017683868</v>
      </c>
      <c r="H25" s="28">
        <v>0.60210144158177015</v>
      </c>
      <c r="I25" s="49"/>
    </row>
    <row r="26" spans="1:9" ht="16.5">
      <c r="A26" s="306" t="s">
        <v>558</v>
      </c>
      <c r="B26" s="277"/>
      <c r="C26" s="15">
        <f t="shared" ref="C26:H26" si="1">+C19+C25</f>
        <v>2.7641335977521306</v>
      </c>
      <c r="D26" s="15">
        <f t="shared" si="1"/>
        <v>2.8431609217873182</v>
      </c>
      <c r="E26" s="15">
        <f t="shared" si="1"/>
        <v>1.6956531809963473</v>
      </c>
      <c r="F26" s="15">
        <f t="shared" si="1"/>
        <v>1.5104022208355179</v>
      </c>
      <c r="G26" s="15">
        <f t="shared" si="1"/>
        <v>1.5617163226833799</v>
      </c>
      <c r="H26" s="15">
        <f t="shared" si="1"/>
        <v>1.2926027904238997</v>
      </c>
    </row>
    <row r="27" spans="1:9">
      <c r="A27" s="278" t="s">
        <v>240</v>
      </c>
      <c r="C27" s="168"/>
    </row>
    <row r="28" spans="1:9">
      <c r="A28" s="270" t="s">
        <v>214</v>
      </c>
      <c r="C28" s="168"/>
    </row>
    <row r="30" spans="1:9">
      <c r="A30" s="40" t="s">
        <v>170</v>
      </c>
    </row>
  </sheetData>
  <mergeCells count="7">
    <mergeCell ref="C11:H11"/>
    <mergeCell ref="A11:B12"/>
    <mergeCell ref="B5:H6"/>
    <mergeCell ref="A9:H9"/>
    <mergeCell ref="A8:H8"/>
    <mergeCell ref="A7:H7"/>
    <mergeCell ref="A4:H4"/>
  </mergeCells>
  <hyperlinks>
    <hyperlink ref="A1" location="Indice!A1" display="Cuadro 16. Gasto ambiental del gobierno central  como porcentaje del presupuesto general  de egresos, según clasificación económica presupuestaria, precios corrientes, sin agua y saneamiento"/>
  </hyperlinks>
  <pageMargins left="0.7" right="0.7" top="0.75" bottom="0.75" header="0.3" footer="0.3"/>
  <pageSetup scale="88" orientation="portrait" r:id="rId1"/>
</worksheet>
</file>

<file path=xl/worksheets/sheet21.xml><?xml version="1.0" encoding="utf-8"?>
<worksheet xmlns="http://schemas.openxmlformats.org/spreadsheetml/2006/main" xmlns:r="http://schemas.openxmlformats.org/officeDocument/2006/relationships">
  <sheetPr>
    <tabColor theme="3" tint="0.39997558519241921"/>
    <pageSetUpPr fitToPage="1"/>
  </sheetPr>
  <dimension ref="A1:W72"/>
  <sheetViews>
    <sheetView showGridLines="0" topLeftCell="A6" workbookViewId="0">
      <selection activeCell="A6" sqref="A6:U6"/>
    </sheetView>
  </sheetViews>
  <sheetFormatPr baseColWidth="10" defaultRowHeight="12.75"/>
  <cols>
    <col min="1" max="2" width="1" customWidth="1"/>
    <col min="3" max="3" width="57" customWidth="1"/>
    <col min="4" max="4" width="9.1640625" customWidth="1"/>
    <col min="5" max="5" width="6.83203125" customWidth="1"/>
    <col min="6" max="6" width="8" customWidth="1"/>
    <col min="7" max="7" width="8.6640625" customWidth="1"/>
    <col min="8" max="8" width="6.83203125" customWidth="1"/>
    <col min="9" max="9" width="7.33203125" customWidth="1"/>
    <col min="10" max="10" width="9" customWidth="1"/>
    <col min="11" max="11" width="7.1640625" customWidth="1"/>
    <col min="12" max="12" width="8" customWidth="1"/>
    <col min="13" max="13" width="8.6640625" customWidth="1"/>
    <col min="14" max="14" width="7.5" customWidth="1"/>
    <col min="15" max="15" width="7.6640625" customWidth="1"/>
    <col min="16" max="16" width="9" customWidth="1"/>
    <col min="17" max="17" width="7.1640625" customWidth="1"/>
    <col min="18" max="18" width="8" customWidth="1"/>
    <col min="19" max="19" width="10.5" customWidth="1"/>
    <col min="20" max="20" width="6.6640625" customWidth="1"/>
    <col min="21" max="21" width="11.5" customWidth="1"/>
  </cols>
  <sheetData>
    <row r="1" spans="1:21" hidden="1">
      <c r="A1" s="45" t="s">
        <v>308</v>
      </c>
    </row>
    <row r="2" spans="1:21" hidden="1"/>
    <row r="3" spans="1:21" hidden="1"/>
    <row r="4" spans="1:21" hidden="1"/>
    <row r="5" spans="1:21" hidden="1"/>
    <row r="6" spans="1:21">
      <c r="A6" s="549" t="s">
        <v>185</v>
      </c>
      <c r="B6" s="549"/>
      <c r="C6" s="549"/>
      <c r="D6" s="549"/>
      <c r="E6" s="549"/>
      <c r="F6" s="549"/>
      <c r="G6" s="549"/>
      <c r="H6" s="549"/>
      <c r="I6" s="549"/>
      <c r="J6" s="549"/>
      <c r="K6" s="549"/>
      <c r="L6" s="549"/>
      <c r="M6" s="549"/>
      <c r="N6" s="549"/>
      <c r="O6" s="549"/>
      <c r="P6" s="549"/>
      <c r="Q6" s="549"/>
      <c r="R6" s="549"/>
      <c r="S6" s="549"/>
      <c r="T6" s="549"/>
      <c r="U6" s="549"/>
    </row>
    <row r="7" spans="1:21">
      <c r="A7" s="550" t="s">
        <v>257</v>
      </c>
      <c r="B7" s="550"/>
      <c r="C7" s="550"/>
      <c r="D7" s="550"/>
      <c r="E7" s="550"/>
      <c r="F7" s="550"/>
      <c r="G7" s="550"/>
      <c r="H7" s="550"/>
      <c r="I7" s="550"/>
      <c r="J7" s="550"/>
      <c r="K7" s="550"/>
      <c r="L7" s="550"/>
      <c r="M7" s="550"/>
      <c r="N7" s="550"/>
      <c r="O7" s="550"/>
      <c r="P7" s="550"/>
      <c r="Q7" s="550"/>
      <c r="R7" s="550"/>
      <c r="S7" s="550"/>
      <c r="T7" s="550"/>
      <c r="U7" s="550"/>
    </row>
    <row r="8" spans="1:21">
      <c r="A8" s="546" t="s">
        <v>17</v>
      </c>
      <c r="B8" s="546"/>
      <c r="C8" s="546"/>
      <c r="D8" s="546"/>
      <c r="E8" s="546"/>
      <c r="F8" s="546"/>
      <c r="G8" s="546"/>
      <c r="H8" s="546"/>
      <c r="I8" s="546"/>
      <c r="J8" s="546"/>
      <c r="K8" s="546"/>
      <c r="L8" s="546"/>
      <c r="M8" s="546"/>
      <c r="N8" s="546"/>
      <c r="O8" s="546"/>
      <c r="P8" s="546"/>
      <c r="Q8" s="546"/>
      <c r="R8" s="546"/>
      <c r="S8" s="546"/>
      <c r="T8" s="546"/>
      <c r="U8" s="546"/>
    </row>
    <row r="9" spans="1:21">
      <c r="A9" s="546" t="s">
        <v>246</v>
      </c>
      <c r="B9" s="546"/>
      <c r="C9" s="546"/>
      <c r="D9" s="546"/>
      <c r="E9" s="546"/>
      <c r="F9" s="546"/>
      <c r="G9" s="546"/>
      <c r="H9" s="546"/>
      <c r="I9" s="546"/>
      <c r="J9" s="546"/>
      <c r="K9" s="546"/>
      <c r="L9" s="546"/>
      <c r="M9" s="546"/>
      <c r="N9" s="546"/>
      <c r="O9" s="546"/>
      <c r="P9" s="546"/>
      <c r="Q9" s="546"/>
      <c r="R9" s="546"/>
      <c r="S9" s="546"/>
      <c r="T9" s="546"/>
      <c r="U9" s="546"/>
    </row>
    <row r="10" spans="1:21" s="529" customFormat="1">
      <c r="A10" s="551" t="s">
        <v>28</v>
      </c>
      <c r="B10" s="551"/>
      <c r="C10" s="551"/>
      <c r="D10" s="551"/>
      <c r="E10" s="551"/>
      <c r="F10" s="551"/>
      <c r="G10" s="551"/>
      <c r="H10" s="551"/>
      <c r="I10" s="551"/>
      <c r="J10" s="551"/>
      <c r="K10" s="551"/>
      <c r="L10" s="551"/>
      <c r="M10" s="551"/>
      <c r="N10" s="551"/>
      <c r="O10" s="551"/>
      <c r="P10" s="551"/>
      <c r="Q10" s="551"/>
      <c r="R10" s="551"/>
      <c r="S10" s="551"/>
      <c r="T10" s="551"/>
      <c r="U10" s="551"/>
    </row>
    <row r="11" spans="1:21" ht="15" customHeight="1"/>
    <row r="12" spans="1:21">
      <c r="A12" s="278"/>
      <c r="B12" s="600" t="s">
        <v>153</v>
      </c>
      <c r="C12" s="649"/>
      <c r="D12" s="620">
        <v>2001</v>
      </c>
      <c r="E12" s="621"/>
      <c r="F12" s="620"/>
      <c r="G12" s="622">
        <v>2002</v>
      </c>
      <c r="H12" s="621"/>
      <c r="I12" s="622"/>
      <c r="J12" s="620">
        <v>2003</v>
      </c>
      <c r="K12" s="621"/>
      <c r="L12" s="620"/>
      <c r="M12" s="622">
        <v>2004</v>
      </c>
      <c r="N12" s="621"/>
      <c r="O12" s="622"/>
      <c r="P12" s="612"/>
      <c r="Q12" s="612">
        <v>2005</v>
      </c>
      <c r="R12" s="612"/>
      <c r="S12" s="610"/>
      <c r="T12" s="610">
        <v>2006</v>
      </c>
      <c r="U12" s="611"/>
    </row>
    <row r="13" spans="1:21">
      <c r="A13" s="278"/>
      <c r="B13" s="650"/>
      <c r="C13" s="650"/>
      <c r="D13" s="700" t="s">
        <v>205</v>
      </c>
      <c r="E13" s="700" t="s">
        <v>0</v>
      </c>
      <c r="F13" s="700" t="s">
        <v>6</v>
      </c>
      <c r="G13" s="699" t="s">
        <v>205</v>
      </c>
      <c r="H13" s="699" t="s">
        <v>0</v>
      </c>
      <c r="I13" s="699" t="s">
        <v>6</v>
      </c>
      <c r="J13" s="700" t="s">
        <v>205</v>
      </c>
      <c r="K13" s="700" t="s">
        <v>0</v>
      </c>
      <c r="L13" s="700" t="s">
        <v>6</v>
      </c>
      <c r="M13" s="699" t="s">
        <v>205</v>
      </c>
      <c r="N13" s="699" t="s">
        <v>0</v>
      </c>
      <c r="O13" s="699" t="s">
        <v>6</v>
      </c>
      <c r="P13" s="700" t="s">
        <v>205</v>
      </c>
      <c r="Q13" s="700" t="s">
        <v>0</v>
      </c>
      <c r="R13" s="700" t="s">
        <v>6</v>
      </c>
      <c r="S13" s="699" t="s">
        <v>205</v>
      </c>
      <c r="T13" s="699" t="s">
        <v>0</v>
      </c>
      <c r="U13" s="699" t="s">
        <v>6</v>
      </c>
    </row>
    <row r="14" spans="1:21" ht="13.5">
      <c r="A14" s="278"/>
      <c r="B14" s="294" t="s">
        <v>241</v>
      </c>
      <c r="C14" s="304"/>
      <c r="D14" s="312">
        <v>0</v>
      </c>
      <c r="E14" s="312">
        <v>1.2849819426221747E-2</v>
      </c>
      <c r="F14" s="312">
        <v>1.2849819426221747E-2</v>
      </c>
      <c r="G14" s="312">
        <v>2.2446536493665018E-2</v>
      </c>
      <c r="H14" s="312">
        <v>0</v>
      </c>
      <c r="I14" s="312">
        <v>2.2446536493665018E-2</v>
      </c>
      <c r="J14" s="312">
        <v>0</v>
      </c>
      <c r="K14" s="312">
        <v>0</v>
      </c>
      <c r="L14" s="312">
        <v>0</v>
      </c>
      <c r="M14" s="312">
        <v>0</v>
      </c>
      <c r="N14" s="312">
        <v>6.8876126918217618E-3</v>
      </c>
      <c r="O14" s="312">
        <v>6.8876126918217618E-3</v>
      </c>
      <c r="P14" s="312">
        <v>0</v>
      </c>
      <c r="Q14" s="312">
        <v>3.7884322214704044E-2</v>
      </c>
      <c r="R14" s="312">
        <v>3.7884322214704044E-2</v>
      </c>
      <c r="S14" s="312">
        <v>0</v>
      </c>
      <c r="T14" s="312">
        <v>1.482224403076788E-2</v>
      </c>
      <c r="U14" s="312">
        <v>1.482224403076788E-2</v>
      </c>
    </row>
    <row r="15" spans="1:21" ht="13.5">
      <c r="A15" s="168"/>
      <c r="B15" s="296"/>
      <c r="C15" s="296" t="s">
        <v>161</v>
      </c>
      <c r="D15" s="313">
        <v>4.6766579648591256E-3</v>
      </c>
      <c r="E15" s="313">
        <v>3.6770772747561915E-2</v>
      </c>
      <c r="F15" s="313">
        <v>4.1447430712421039E-2</v>
      </c>
      <c r="G15" s="313">
        <v>9.6669658008786893E-3</v>
      </c>
      <c r="H15" s="313">
        <v>2.5869425789905712E-2</v>
      </c>
      <c r="I15" s="313">
        <v>3.5536391590784401E-2</v>
      </c>
      <c r="J15" s="313">
        <v>4.4976926232930675E-3</v>
      </c>
      <c r="K15" s="313">
        <v>2.8465512796772945E-2</v>
      </c>
      <c r="L15" s="313">
        <v>3.2963205420066005E-2</v>
      </c>
      <c r="M15" s="313">
        <v>1.3189690203698639E-4</v>
      </c>
      <c r="N15" s="313">
        <v>3.5002622887836448E-4</v>
      </c>
      <c r="O15" s="313">
        <v>4.8192313091535092E-4</v>
      </c>
      <c r="P15" s="313">
        <v>7.0281231283245008E-4</v>
      </c>
      <c r="Q15" s="313">
        <v>1.4708658706751147E-2</v>
      </c>
      <c r="R15" s="313">
        <v>1.5411471019583596E-2</v>
      </c>
      <c r="S15" s="313">
        <v>1.90485268944631E-3</v>
      </c>
      <c r="T15" s="313">
        <v>3.184565392718415E-3</v>
      </c>
      <c r="U15" s="313">
        <v>5.0894180821647247E-3</v>
      </c>
    </row>
    <row r="16" spans="1:21" ht="27">
      <c r="A16" s="168"/>
      <c r="B16" s="296"/>
      <c r="C16" s="299" t="s">
        <v>239</v>
      </c>
      <c r="D16" s="312">
        <v>0</v>
      </c>
      <c r="E16" s="312">
        <v>0</v>
      </c>
      <c r="F16" s="312">
        <v>0</v>
      </c>
      <c r="G16" s="312">
        <v>8.62314618306163E-3</v>
      </c>
      <c r="H16" s="312">
        <v>0</v>
      </c>
      <c r="I16" s="312">
        <v>8.62314618306163E-3</v>
      </c>
      <c r="J16" s="312">
        <v>0</v>
      </c>
      <c r="K16" s="312">
        <v>0</v>
      </c>
      <c r="L16" s="312">
        <v>0</v>
      </c>
      <c r="M16" s="312">
        <v>0</v>
      </c>
      <c r="N16" s="312">
        <v>0</v>
      </c>
      <c r="O16" s="312">
        <v>0</v>
      </c>
      <c r="P16" s="312">
        <v>0</v>
      </c>
      <c r="Q16" s="312">
        <v>0</v>
      </c>
      <c r="R16" s="312">
        <v>0</v>
      </c>
      <c r="S16" s="312">
        <v>0</v>
      </c>
      <c r="T16" s="312">
        <v>0</v>
      </c>
      <c r="U16" s="312">
        <v>0</v>
      </c>
    </row>
    <row r="17" spans="1:23" ht="13.5">
      <c r="A17" s="168"/>
      <c r="B17" s="299"/>
      <c r="C17" s="296" t="s">
        <v>9</v>
      </c>
      <c r="D17" s="313">
        <v>0.51302532298133852</v>
      </c>
      <c r="E17" s="313">
        <v>0.17239802153359213</v>
      </c>
      <c r="F17" s="313">
        <v>0.68542334451493059</v>
      </c>
      <c r="G17" s="313">
        <v>0.40280291243306698</v>
      </c>
      <c r="H17" s="313">
        <v>0.39331409704707748</v>
      </c>
      <c r="I17" s="313">
        <v>0.79611700948014441</v>
      </c>
      <c r="J17" s="313">
        <v>0.25681501411820673</v>
      </c>
      <c r="K17" s="313">
        <v>0.24367128922631173</v>
      </c>
      <c r="L17" s="313">
        <v>0.50048630334451993</v>
      </c>
      <c r="M17" s="313">
        <v>0.27138760522952116</v>
      </c>
      <c r="N17" s="313">
        <v>0.18963676228508944</v>
      </c>
      <c r="O17" s="313">
        <v>0.46102436751461057</v>
      </c>
      <c r="P17" s="313">
        <v>0.20948586209575859</v>
      </c>
      <c r="Q17" s="313">
        <v>0.24409139526225315</v>
      </c>
      <c r="R17" s="313">
        <v>0.4535772573580118</v>
      </c>
      <c r="S17" s="313">
        <v>0.19173253645730465</v>
      </c>
      <c r="T17" s="313">
        <v>0.27761125707749029</v>
      </c>
      <c r="U17" s="313">
        <v>0.46934379353479494</v>
      </c>
    </row>
    <row r="18" spans="1:23" ht="13.5">
      <c r="A18" s="168"/>
      <c r="B18" s="168"/>
      <c r="C18" s="296" t="s">
        <v>10</v>
      </c>
      <c r="D18" s="313">
        <v>3.8566496688353553E-2</v>
      </c>
      <c r="E18" s="313">
        <v>0</v>
      </c>
      <c r="F18" s="313">
        <v>3.8566496688353553E-2</v>
      </c>
      <c r="G18" s="313">
        <v>3.7026985875477939E-2</v>
      </c>
      <c r="H18" s="313">
        <v>0</v>
      </c>
      <c r="I18" s="313">
        <v>3.7026985875477939E-2</v>
      </c>
      <c r="J18" s="313">
        <v>3.21898439116843E-2</v>
      </c>
      <c r="K18" s="313">
        <v>0</v>
      </c>
      <c r="L18" s="313">
        <v>3.21898439116843E-2</v>
      </c>
      <c r="M18" s="313">
        <v>2.5190570496575467E-2</v>
      </c>
      <c r="N18" s="313">
        <v>4.9194086311480853E-4</v>
      </c>
      <c r="O18" s="313">
        <v>2.5682511359690279E-2</v>
      </c>
      <c r="P18" s="313">
        <v>2.3405692742512491E-2</v>
      </c>
      <c r="Q18" s="313">
        <v>4.9500888691761554E-4</v>
      </c>
      <c r="R18" s="313">
        <v>2.3900701629430105E-2</v>
      </c>
      <c r="S18" s="313">
        <v>2.7926360222310008E-2</v>
      </c>
      <c r="T18" s="313">
        <v>1.9171612680229111E-4</v>
      </c>
      <c r="U18" s="313">
        <v>2.81180763491123E-2</v>
      </c>
    </row>
    <row r="19" spans="1:23" ht="13.5">
      <c r="A19" s="168"/>
      <c r="B19" s="296"/>
      <c r="C19" s="298" t="s">
        <v>235</v>
      </c>
      <c r="D19" s="313">
        <v>0.24636420446091625</v>
      </c>
      <c r="E19" s="313">
        <v>0.15749123732489301</v>
      </c>
      <c r="F19" s="313">
        <v>0.40385544178580934</v>
      </c>
      <c r="G19" s="313">
        <v>0.23974960339907198</v>
      </c>
      <c r="H19" s="313">
        <v>3.9828634374348748E-2</v>
      </c>
      <c r="I19" s="313">
        <v>0.27957823777342072</v>
      </c>
      <c r="J19" s="313">
        <v>0.15092032924141588</v>
      </c>
      <c r="K19" s="313">
        <v>1.4508998950697296E-2</v>
      </c>
      <c r="L19" s="313">
        <v>0.16542932819211317</v>
      </c>
      <c r="M19" s="313">
        <v>0.13967524969153358</v>
      </c>
      <c r="N19" s="313">
        <v>5.7380663332028042E-2</v>
      </c>
      <c r="O19" s="313">
        <v>0.19705591302356162</v>
      </c>
      <c r="P19" s="313">
        <v>0.14599219932232996</v>
      </c>
      <c r="Q19" s="313">
        <v>0.14060891783567134</v>
      </c>
      <c r="R19" s="313">
        <v>0.2866011171580013</v>
      </c>
      <c r="S19" s="313">
        <v>0.11223646739965326</v>
      </c>
      <c r="T19" s="313">
        <v>7.5714076387517287E-2</v>
      </c>
      <c r="U19" s="313">
        <v>0.18795054378717055</v>
      </c>
    </row>
    <row r="20" spans="1:23">
      <c r="B20" s="53" t="s">
        <v>556</v>
      </c>
      <c r="D20" s="314">
        <v>0.80263268209546745</v>
      </c>
      <c r="E20" s="314">
        <v>0.37950985103226886</v>
      </c>
      <c r="F20" s="314">
        <v>1.1821425331277364</v>
      </c>
      <c r="G20" s="314">
        <v>0.72031615018522221</v>
      </c>
      <c r="H20" s="314">
        <v>0.45901215721133193</v>
      </c>
      <c r="I20" s="314">
        <v>1.1793283073965541</v>
      </c>
      <c r="J20" s="314">
        <v>0.44442287989460139</v>
      </c>
      <c r="K20" s="314">
        <v>0.28664580097378201</v>
      </c>
      <c r="L20" s="314">
        <v>0.73106868086838328</v>
      </c>
      <c r="M20" s="314">
        <v>0.4363853223196672</v>
      </c>
      <c r="N20" s="314">
        <v>0.25474700540093237</v>
      </c>
      <c r="O20" s="314">
        <v>0.69113232772059963</v>
      </c>
      <c r="P20" s="314">
        <v>0.37958656647343475</v>
      </c>
      <c r="Q20" s="314">
        <v>0.43778830290629722</v>
      </c>
      <c r="R20" s="314">
        <v>0.81737486937973214</v>
      </c>
      <c r="S20" s="314">
        <v>0.33380021676871419</v>
      </c>
      <c r="T20" s="314">
        <v>0.37152385901529617</v>
      </c>
      <c r="U20" s="314">
        <v>0.70532407578401035</v>
      </c>
      <c r="V20" s="278"/>
      <c r="W20" s="278"/>
    </row>
    <row r="21" spans="1:23" ht="13.5">
      <c r="A21" s="142"/>
      <c r="B21" s="294" t="s">
        <v>212</v>
      </c>
      <c r="C21" s="296"/>
      <c r="D21" s="315"/>
      <c r="E21" s="276"/>
      <c r="F21" s="276"/>
      <c r="G21" s="276"/>
      <c r="H21" s="276"/>
      <c r="I21" s="276"/>
      <c r="J21" s="276"/>
      <c r="K21" s="276"/>
      <c r="L21" s="276"/>
      <c r="M21" s="276"/>
      <c r="N21" s="276"/>
      <c r="O21" s="276"/>
      <c r="P21" s="276"/>
      <c r="Q21" s="276"/>
      <c r="R21" s="276"/>
      <c r="S21" s="276"/>
      <c r="T21" s="276"/>
      <c r="U21" s="276"/>
      <c r="V21" s="278"/>
      <c r="W21" s="278"/>
    </row>
    <row r="22" spans="1:23" ht="13.5">
      <c r="A22" s="168"/>
      <c r="B22" s="296"/>
      <c r="C22" s="296" t="s">
        <v>12</v>
      </c>
      <c r="D22" s="313">
        <v>7.6717439233880247E-2</v>
      </c>
      <c r="E22" s="313">
        <v>0</v>
      </c>
      <c r="F22" s="313">
        <v>7.6717439233880247E-2</v>
      </c>
      <c r="G22" s="313">
        <v>7.1309012729507543E-2</v>
      </c>
      <c r="H22" s="313">
        <v>0</v>
      </c>
      <c r="I22" s="313">
        <v>7.1309012729507543E-2</v>
      </c>
      <c r="J22" s="313">
        <v>4.7765489922700161E-2</v>
      </c>
      <c r="K22" s="313">
        <v>0</v>
      </c>
      <c r="L22" s="313">
        <v>4.7765489922700161E-2</v>
      </c>
      <c r="M22" s="313">
        <v>1.2589825079240767E-2</v>
      </c>
      <c r="N22" s="313">
        <v>0</v>
      </c>
      <c r="O22" s="313">
        <v>1.2589825079240767E-2</v>
      </c>
      <c r="P22" s="313">
        <v>9.3276342669183273E-3</v>
      </c>
      <c r="Q22" s="313">
        <v>1.9629566078845897E-4</v>
      </c>
      <c r="R22" s="313">
        <v>9.5239299277067885E-3</v>
      </c>
      <c r="S22" s="313">
        <v>4.7762487655540198E-3</v>
      </c>
      <c r="T22" s="313">
        <v>1.2070138477406894E-4</v>
      </c>
      <c r="U22" s="313">
        <v>4.8969501503280891E-3</v>
      </c>
      <c r="V22" s="278"/>
      <c r="W22" s="278"/>
    </row>
    <row r="23" spans="1:23" ht="13.5">
      <c r="A23" s="168"/>
      <c r="B23" s="296"/>
      <c r="C23" s="296" t="s">
        <v>13</v>
      </c>
      <c r="D23" s="313">
        <v>3.7340898946314809E-2</v>
      </c>
      <c r="E23" s="313">
        <v>1.1925963849174679</v>
      </c>
      <c r="F23" s="313">
        <v>1.2299372838637828</v>
      </c>
      <c r="G23" s="313">
        <v>2.9897861970117769E-2</v>
      </c>
      <c r="H23" s="313">
        <v>0.859936403499445</v>
      </c>
      <c r="I23" s="313">
        <v>0.88983426546956279</v>
      </c>
      <c r="J23" s="313">
        <v>0.14096475214308277</v>
      </c>
      <c r="K23" s="313">
        <v>0.24940992879990997</v>
      </c>
      <c r="L23" s="313">
        <v>0.39037468094299277</v>
      </c>
      <c r="M23" s="313">
        <v>2.6031105491809935E-2</v>
      </c>
      <c r="N23" s="313">
        <v>0.20873641078117725</v>
      </c>
      <c r="O23" s="313">
        <v>0.23476751627298723</v>
      </c>
      <c r="P23" s="313">
        <v>2.8198725204852351E-2</v>
      </c>
      <c r="Q23" s="313">
        <v>0.36525133400889015</v>
      </c>
      <c r="R23" s="313">
        <v>0.39345005921374249</v>
      </c>
      <c r="S23" s="313">
        <v>2.5723195322272699E-2</v>
      </c>
      <c r="T23" s="313">
        <v>0.12957878546974785</v>
      </c>
      <c r="U23" s="313">
        <v>0.15530198079202054</v>
      </c>
    </row>
    <row r="24" spans="1:23" ht="13.5">
      <c r="A24" s="168"/>
      <c r="B24" s="296"/>
      <c r="C24" s="296" t="s">
        <v>14</v>
      </c>
      <c r="D24" s="313">
        <v>6.134257731308021E-2</v>
      </c>
      <c r="E24" s="313">
        <v>0.19517940507590412</v>
      </c>
      <c r="F24" s="313">
        <v>0.25652198238898433</v>
      </c>
      <c r="G24" s="313">
        <v>0.13946075458377105</v>
      </c>
      <c r="H24" s="313">
        <v>0.58567359092900317</v>
      </c>
      <c r="I24" s="313">
        <v>0.72513434551277411</v>
      </c>
      <c r="J24" s="313">
        <v>8.26342120243206E-2</v>
      </c>
      <c r="K24" s="313">
        <v>0.45048889003697251</v>
      </c>
      <c r="L24" s="313">
        <v>0.53312310206129165</v>
      </c>
      <c r="M24" s="313">
        <v>0.1597243369635086</v>
      </c>
      <c r="N24" s="313">
        <v>0.40867946345319811</v>
      </c>
      <c r="O24" s="313">
        <v>0.56840380041670657</v>
      </c>
      <c r="P24" s="313">
        <v>7.4599880601267154E-2</v>
      </c>
      <c r="Q24" s="313">
        <v>0.42882173850123512</v>
      </c>
      <c r="R24" s="313">
        <v>0.50342161910250227</v>
      </c>
      <c r="S24" s="313">
        <v>7.9826280531963917E-2</v>
      </c>
      <c r="T24" s="313">
        <v>0.41248607380341046</v>
      </c>
      <c r="U24" s="313">
        <v>0.49231235433537429</v>
      </c>
    </row>
    <row r="25" spans="1:23" ht="13.5">
      <c r="A25" s="168"/>
      <c r="B25" s="296"/>
      <c r="C25" s="298" t="s">
        <v>236</v>
      </c>
      <c r="D25" s="313">
        <v>3.16602507743707E-2</v>
      </c>
      <c r="E25" s="313">
        <v>0</v>
      </c>
      <c r="F25" s="313">
        <v>3.16602507743707E-2</v>
      </c>
      <c r="G25" s="313">
        <v>0</v>
      </c>
      <c r="H25" s="313">
        <v>0</v>
      </c>
      <c r="I25" s="313">
        <v>0</v>
      </c>
      <c r="J25" s="313">
        <v>2.1784831222020108E-2</v>
      </c>
      <c r="K25" s="313">
        <v>0</v>
      </c>
      <c r="L25" s="313">
        <v>2.1784831222020108E-2</v>
      </c>
      <c r="M25" s="313">
        <v>1.0394899776130982E-2</v>
      </c>
      <c r="N25" s="313">
        <v>0</v>
      </c>
      <c r="O25" s="313">
        <v>1.0394899776130982E-2</v>
      </c>
      <c r="P25" s="313">
        <v>8.5697437524483531E-3</v>
      </c>
      <c r="Q25" s="313">
        <v>0</v>
      </c>
      <c r="R25" s="313">
        <v>8.5697437524483531E-3</v>
      </c>
      <c r="S25" s="313">
        <v>1.105792717317357E-2</v>
      </c>
      <c r="T25" s="313">
        <v>0</v>
      </c>
      <c r="U25" s="313">
        <v>1.105792717317357E-2</v>
      </c>
    </row>
    <row r="26" spans="1:23">
      <c r="B26" s="53" t="s">
        <v>557</v>
      </c>
      <c r="D26" s="316">
        <v>0.20706116626764598</v>
      </c>
      <c r="E26" s="316">
        <v>1.3877757899933725</v>
      </c>
      <c r="F26" s="316">
        <v>1.5948369562610181</v>
      </c>
      <c r="G26" s="316">
        <v>0.24066762928339636</v>
      </c>
      <c r="H26" s="316">
        <v>1.4456099944284482</v>
      </c>
      <c r="I26" s="316">
        <v>1.6862776237118446</v>
      </c>
      <c r="J26" s="316">
        <v>0.29314928531212364</v>
      </c>
      <c r="K26" s="316">
        <v>0.69989881883688243</v>
      </c>
      <c r="L26" s="316">
        <v>0.99304810414900457</v>
      </c>
      <c r="M26" s="316">
        <v>0.20874016731069031</v>
      </c>
      <c r="N26" s="316">
        <v>0.61741587423437527</v>
      </c>
      <c r="O26" s="316">
        <v>0.82615604154506561</v>
      </c>
      <c r="P26" s="316">
        <v>0.12069598382548619</v>
      </c>
      <c r="Q26" s="316">
        <v>0.79426936817091376</v>
      </c>
      <c r="R26" s="316">
        <v>0.91496535199639983</v>
      </c>
      <c r="S26" s="316">
        <v>0.12138365179296422</v>
      </c>
      <c r="T26" s="316">
        <v>0.54218556065793233</v>
      </c>
      <c r="U26" s="316">
        <v>0.66356921245089651</v>
      </c>
    </row>
    <row r="27" spans="1:23" ht="16.5">
      <c r="A27" s="168"/>
      <c r="B27" s="311" t="s">
        <v>237</v>
      </c>
      <c r="C27" s="172"/>
      <c r="D27" s="317">
        <v>1.0096938483631133</v>
      </c>
      <c r="E27" s="317">
        <v>1.767285641025641</v>
      </c>
      <c r="F27" s="317">
        <v>2.7769794893887543</v>
      </c>
      <c r="G27" s="317">
        <v>0.96098377946861857</v>
      </c>
      <c r="H27" s="317">
        <v>1.9046221516397801</v>
      </c>
      <c r="I27" s="317">
        <v>2.8656059311083988</v>
      </c>
      <c r="J27" s="317">
        <v>0.73757216520672364</v>
      </c>
      <c r="K27" s="317">
        <v>0.98654461981066455</v>
      </c>
      <c r="L27" s="317">
        <v>1.7241167850173882</v>
      </c>
      <c r="M27" s="317">
        <v>0.64512548963035743</v>
      </c>
      <c r="N27" s="317">
        <v>0.87216287963530781</v>
      </c>
      <c r="O27" s="317">
        <v>1.5172883692656653</v>
      </c>
      <c r="P27" s="317">
        <v>0.50028255029892088</v>
      </c>
      <c r="Q27" s="317">
        <v>1.2320576710772111</v>
      </c>
      <c r="R27" s="317">
        <v>1.7323402213761319</v>
      </c>
      <c r="S27" s="317">
        <v>0.45518386856167847</v>
      </c>
      <c r="T27" s="317">
        <v>0.9137094196732285</v>
      </c>
      <c r="U27" s="317">
        <v>1.368893288234907</v>
      </c>
    </row>
    <row r="28" spans="1:23">
      <c r="A28" s="278" t="s">
        <v>240</v>
      </c>
      <c r="C28" s="49"/>
      <c r="D28" s="49"/>
      <c r="E28" s="49"/>
      <c r="F28" s="49"/>
      <c r="G28" s="49"/>
      <c r="H28" s="49"/>
      <c r="I28" s="49"/>
      <c r="J28" s="49"/>
      <c r="K28" s="49"/>
      <c r="L28" s="49"/>
      <c r="M28" s="49"/>
      <c r="N28" s="49"/>
      <c r="O28" s="49"/>
      <c r="P28" s="49"/>
      <c r="Q28" s="49"/>
      <c r="R28" s="49"/>
      <c r="S28" s="49"/>
      <c r="T28" s="49"/>
      <c r="U28" s="49"/>
    </row>
    <row r="29" spans="1:23">
      <c r="A29" s="270" t="s">
        <v>214</v>
      </c>
      <c r="B29" s="168"/>
      <c r="C29" s="49"/>
      <c r="D29" s="49"/>
      <c r="E29" s="49"/>
      <c r="F29" s="49"/>
      <c r="G29" s="49"/>
      <c r="H29" s="49"/>
      <c r="I29" s="49"/>
      <c r="J29" s="49"/>
      <c r="K29" s="49"/>
      <c r="L29" s="49"/>
      <c r="M29" s="49"/>
      <c r="N29" s="49"/>
      <c r="O29" s="49"/>
      <c r="P29" s="49"/>
      <c r="Q29" s="49"/>
      <c r="R29" s="49"/>
      <c r="S29" s="49"/>
      <c r="T29" s="49"/>
      <c r="U29" s="49"/>
    </row>
    <row r="30" spans="1:23">
      <c r="B30" s="168"/>
      <c r="C30" s="49"/>
    </row>
    <row r="31" spans="1:23">
      <c r="A31" s="40" t="s">
        <v>170</v>
      </c>
      <c r="T31" s="295"/>
      <c r="U31" s="295"/>
    </row>
    <row r="32" spans="1:23">
      <c r="T32" s="295"/>
      <c r="U32" s="295"/>
    </row>
    <row r="33" spans="2:21">
      <c r="T33" s="295"/>
      <c r="U33" s="295"/>
    </row>
    <row r="34" spans="2:21">
      <c r="T34" s="278"/>
      <c r="U34" s="278"/>
    </row>
    <row r="35" spans="2:21">
      <c r="T35" s="295"/>
      <c r="U35" s="295"/>
    </row>
    <row r="36" spans="2:21">
      <c r="T36" s="295"/>
      <c r="U36" s="295"/>
    </row>
    <row r="37" spans="2:21">
      <c r="T37" s="295"/>
      <c r="U37" s="295"/>
    </row>
    <row r="38" spans="2:21">
      <c r="T38" s="295"/>
      <c r="U38" s="295"/>
    </row>
    <row r="39" spans="2:21">
      <c r="T39" s="310"/>
      <c r="U39" s="310"/>
    </row>
    <row r="40" spans="2:21">
      <c r="B40" s="283"/>
      <c r="T40" s="310"/>
      <c r="U40" s="310"/>
    </row>
    <row r="55" spans="22:23">
      <c r="V55" s="278"/>
      <c r="W55" s="278"/>
    </row>
    <row r="56" spans="22:23">
      <c r="V56" s="276"/>
      <c r="W56" s="276"/>
    </row>
    <row r="57" spans="22:23">
      <c r="V57" s="278"/>
      <c r="W57" s="278"/>
    </row>
    <row r="58" spans="22:23">
      <c r="V58" s="278"/>
      <c r="W58" s="278"/>
    </row>
    <row r="59" spans="22:23">
      <c r="V59" s="309"/>
      <c r="W59" s="309"/>
    </row>
    <row r="60" spans="22:23">
      <c r="V60" s="295"/>
      <c r="W60" s="295"/>
    </row>
    <row r="61" spans="22:23">
      <c r="V61" s="309"/>
      <c r="W61" s="309"/>
    </row>
    <row r="62" spans="22:23">
      <c r="V62" s="295"/>
      <c r="W62" s="295"/>
    </row>
    <row r="63" spans="22:23">
      <c r="V63" s="295"/>
      <c r="W63" s="295"/>
    </row>
    <row r="64" spans="22:23">
      <c r="V64" s="295"/>
      <c r="W64" s="295"/>
    </row>
    <row r="65" spans="22:23">
      <c r="V65" s="295"/>
      <c r="W65" s="295"/>
    </row>
    <row r="66" spans="22:23">
      <c r="V66" s="278"/>
      <c r="W66" s="278"/>
    </row>
    <row r="67" spans="22:23">
      <c r="V67" s="295"/>
      <c r="W67" s="295"/>
    </row>
    <row r="68" spans="22:23">
      <c r="V68" s="295"/>
      <c r="W68" s="295"/>
    </row>
    <row r="69" spans="22:23">
      <c r="V69" s="295"/>
      <c r="W69" s="295"/>
    </row>
    <row r="70" spans="22:23">
      <c r="V70" s="295"/>
      <c r="W70" s="295"/>
    </row>
    <row r="71" spans="22:23">
      <c r="V71" s="310"/>
      <c r="W71" s="310"/>
    </row>
    <row r="72" spans="22:23">
      <c r="V72" s="310"/>
      <c r="W72" s="310"/>
    </row>
  </sheetData>
  <mergeCells count="10">
    <mergeCell ref="B12:C13"/>
    <mergeCell ref="D12:F12"/>
    <mergeCell ref="M12:O12"/>
    <mergeCell ref="J12:L12"/>
    <mergeCell ref="G12:I12"/>
    <mergeCell ref="A6:U6"/>
    <mergeCell ref="A7:U7"/>
    <mergeCell ref="A8:U8"/>
    <mergeCell ref="A9:U9"/>
    <mergeCell ref="A10:U10"/>
  </mergeCells>
  <hyperlinks>
    <hyperlink ref="A1" location="Indice!A1" display="Cuadro 16. Gasto ambiental del gobierno central  como porcentaje del presupuesto general  de egresos, según clasificación económica presupuestaria, precios corrientes, sin agua y saneamiento"/>
  </hyperlinks>
  <pageMargins left="0.7" right="0.7" top="0.75" bottom="0.75" header="0.3" footer="0.3"/>
  <pageSetup scale="54" orientation="portrait" r:id="rId1"/>
</worksheet>
</file>

<file path=xl/worksheets/sheet22.xml><?xml version="1.0" encoding="utf-8"?>
<worksheet xmlns="http://schemas.openxmlformats.org/spreadsheetml/2006/main" xmlns:r="http://schemas.openxmlformats.org/officeDocument/2006/relationships">
  <sheetPr>
    <tabColor theme="3" tint="0.39997558519241921"/>
    <pageSetUpPr fitToPage="1"/>
  </sheetPr>
  <dimension ref="A1:T30"/>
  <sheetViews>
    <sheetView showGridLines="0" topLeftCell="A5" workbookViewId="0">
      <selection activeCell="A5" sqref="A5:I5"/>
    </sheetView>
  </sheetViews>
  <sheetFormatPr baseColWidth="10" defaultRowHeight="12.75"/>
  <cols>
    <col min="1" max="1" width="1" style="278" customWidth="1"/>
    <col min="2" max="2" width="1.33203125" style="278" customWidth="1"/>
    <col min="3" max="3" width="42.6640625" customWidth="1"/>
    <col min="4" max="9" width="11.1640625" customWidth="1"/>
  </cols>
  <sheetData>
    <row r="1" spans="1:11" s="49" customFormat="1" hidden="1">
      <c r="C1" s="42" t="s">
        <v>309</v>
      </c>
    </row>
    <row r="2" spans="1:11" s="49" customFormat="1" hidden="1">
      <c r="C2" s="42"/>
    </row>
    <row r="3" spans="1:11" s="49" customFormat="1" hidden="1">
      <c r="D3" s="43"/>
      <c r="E3" s="43"/>
      <c r="F3" s="43"/>
      <c r="G3" s="43"/>
      <c r="H3" s="43"/>
      <c r="I3" s="43"/>
    </row>
    <row r="4" spans="1:11" s="3" customFormat="1" ht="13.5" hidden="1" customHeight="1"/>
    <row r="5" spans="1:11" s="50" customFormat="1">
      <c r="A5" s="549" t="s">
        <v>272</v>
      </c>
      <c r="B5" s="549"/>
      <c r="C5" s="549"/>
      <c r="D5" s="549"/>
      <c r="E5" s="549"/>
      <c r="F5" s="549"/>
      <c r="G5" s="549"/>
      <c r="H5" s="549"/>
      <c r="I5" s="549"/>
    </row>
    <row r="6" spans="1:11" s="49" customFormat="1" ht="26.25" customHeight="1">
      <c r="A6" s="545" t="s">
        <v>259</v>
      </c>
      <c r="B6" s="545"/>
      <c r="C6" s="545"/>
      <c r="D6" s="545"/>
      <c r="E6" s="545"/>
      <c r="F6" s="545"/>
      <c r="G6" s="545"/>
      <c r="H6" s="545"/>
      <c r="I6" s="545"/>
    </row>
    <row r="7" spans="1:11" s="49" customFormat="1">
      <c r="C7" s="90" t="s">
        <v>17</v>
      </c>
      <c r="D7" s="124"/>
      <c r="E7" s="124"/>
      <c r="F7" s="124"/>
      <c r="G7" s="124"/>
      <c r="H7" s="124"/>
      <c r="I7" s="124"/>
    </row>
    <row r="8" spans="1:11" s="49" customFormat="1">
      <c r="C8" s="90" t="s">
        <v>246</v>
      </c>
      <c r="D8" s="124"/>
      <c r="E8" s="124"/>
      <c r="F8" s="124"/>
      <c r="G8" s="124"/>
      <c r="H8" s="124"/>
      <c r="I8" s="124"/>
    </row>
    <row r="9" spans="1:11" s="49" customFormat="1">
      <c r="C9" s="297" t="s">
        <v>28</v>
      </c>
      <c r="D9" s="124"/>
      <c r="E9" s="124"/>
      <c r="F9" s="124"/>
      <c r="G9" s="124"/>
      <c r="H9" s="124"/>
      <c r="I9" s="124"/>
    </row>
    <row r="10" spans="1:11" s="49" customFormat="1">
      <c r="D10" s="124"/>
      <c r="E10" s="124"/>
      <c r="F10" s="124"/>
      <c r="G10" s="124"/>
      <c r="H10" s="124"/>
      <c r="I10" s="124"/>
    </row>
    <row r="11" spans="1:11" s="49" customFormat="1">
      <c r="A11" s="701" t="s">
        <v>580</v>
      </c>
      <c r="B11" s="701"/>
      <c r="C11" s="701"/>
      <c r="D11" s="698">
        <v>2001</v>
      </c>
      <c r="E11" s="698">
        <v>2002</v>
      </c>
      <c r="F11" s="698">
        <v>2003</v>
      </c>
      <c r="G11" s="698">
        <v>2004</v>
      </c>
      <c r="H11" s="698">
        <v>2005</v>
      </c>
      <c r="I11" s="698">
        <v>2006</v>
      </c>
    </row>
    <row r="12" spans="1:11" s="49" customFormat="1" ht="13.5" customHeight="1">
      <c r="B12" s="107" t="s">
        <v>242</v>
      </c>
    </row>
    <row r="13" spans="1:11" s="49" customFormat="1" ht="24.75" customHeight="1">
      <c r="C13" s="308" t="s">
        <v>164</v>
      </c>
      <c r="D13" s="141">
        <v>1.2849837685635414E-2</v>
      </c>
      <c r="E13" s="141">
        <v>2.2446548550581424E-2</v>
      </c>
      <c r="F13" s="141">
        <v>0</v>
      </c>
      <c r="G13" s="141">
        <v>6.8876193690345809E-3</v>
      </c>
      <c r="H13" s="141">
        <v>3.7884264638657815E-2</v>
      </c>
      <c r="I13" s="141">
        <v>1.4822233664645697E-2</v>
      </c>
      <c r="K13" s="146"/>
    </row>
    <row r="14" spans="1:11" s="49" customFormat="1" ht="15" customHeight="1">
      <c r="C14" s="170" t="s">
        <v>20</v>
      </c>
      <c r="D14" s="141">
        <v>4.1447489608640337E-2</v>
      </c>
      <c r="E14" s="141">
        <v>3.5536410678776116E-2</v>
      </c>
      <c r="F14" s="141">
        <v>3.296324252637884E-2</v>
      </c>
      <c r="G14" s="141">
        <v>4.8192359811689828E-4</v>
      </c>
      <c r="H14" s="141">
        <v>1.5411447597452329E-2</v>
      </c>
      <c r="I14" s="141">
        <v>5.0894145228163826E-3</v>
      </c>
    </row>
    <row r="15" spans="1:11" s="49" customFormat="1" ht="19.5" customHeight="1">
      <c r="C15" s="170" t="s">
        <v>25</v>
      </c>
      <c r="D15" s="141">
        <v>0</v>
      </c>
      <c r="E15" s="141">
        <v>8.6231508148921464E-3</v>
      </c>
      <c r="F15" s="141">
        <v>0</v>
      </c>
      <c r="G15" s="141">
        <v>0</v>
      </c>
      <c r="H15" s="141">
        <v>0</v>
      </c>
      <c r="I15" s="141">
        <v>0</v>
      </c>
    </row>
    <row r="16" spans="1:11" s="49" customFormat="1" ht="15" customHeight="1">
      <c r="C16" s="170" t="s">
        <v>21</v>
      </c>
      <c r="D16" s="141">
        <v>0.68542431849191576</v>
      </c>
      <c r="E16" s="141">
        <v>0.79611743710586014</v>
      </c>
      <c r="F16" s="141">
        <v>0.50048686673637011</v>
      </c>
      <c r="G16" s="141">
        <v>0.46102481445580112</v>
      </c>
      <c r="H16" s="141">
        <v>0.45357656801784108</v>
      </c>
      <c r="I16" s="141">
        <v>0.46934346529332888</v>
      </c>
    </row>
    <row r="17" spans="1:20" s="49" customFormat="1" ht="15" customHeight="1">
      <c r="C17" s="170" t="s">
        <v>26</v>
      </c>
      <c r="D17" s="141">
        <v>3.85665514908059E-2</v>
      </c>
      <c r="E17" s="141">
        <v>3.7027005764126403E-2</v>
      </c>
      <c r="F17" s="141">
        <v>3.2189880147432702E-2</v>
      </c>
      <c r="G17" s="141">
        <v>2.5682536257663167E-2</v>
      </c>
      <c r="H17" s="141">
        <v>2.3900665305488657E-2</v>
      </c>
      <c r="I17" s="141">
        <v>2.8118056684383094E-2</v>
      </c>
    </row>
    <row r="18" spans="1:20" s="49" customFormat="1" ht="16.5" customHeight="1">
      <c r="C18" s="170" t="s">
        <v>22</v>
      </c>
      <c r="D18" s="141">
        <v>0.40385601565874313</v>
      </c>
      <c r="E18" s="141">
        <v>0.27957838794587353</v>
      </c>
      <c r="F18" s="141">
        <v>0.16542951441406353</v>
      </c>
      <c r="G18" s="141">
        <v>0.19705610405989418</v>
      </c>
      <c r="H18" s="141">
        <v>0.28660068158575913</v>
      </c>
      <c r="I18" s="141">
        <v>0.18795041234160142</v>
      </c>
    </row>
    <row r="19" spans="1:20" s="635" customFormat="1">
      <c r="B19" s="638" t="s">
        <v>556</v>
      </c>
      <c r="D19" s="702">
        <v>1.1821442129357405</v>
      </c>
      <c r="E19" s="702">
        <v>1.1793289408601098</v>
      </c>
      <c r="F19" s="702">
        <v>0.73106950382424518</v>
      </c>
      <c r="G19" s="702">
        <v>0.69113299774050996</v>
      </c>
      <c r="H19" s="702">
        <v>0.81737362714519923</v>
      </c>
      <c r="I19" s="702">
        <v>0.70532358250677551</v>
      </c>
    </row>
    <row r="20" spans="1:20" s="49" customFormat="1">
      <c r="B20" s="79" t="s">
        <v>244</v>
      </c>
      <c r="D20" s="141"/>
      <c r="E20" s="141"/>
      <c r="F20" s="141"/>
      <c r="G20" s="141"/>
      <c r="H20" s="141"/>
      <c r="I20" s="141"/>
    </row>
    <row r="21" spans="1:20" s="49" customFormat="1">
      <c r="C21" s="168" t="s">
        <v>12</v>
      </c>
      <c r="D21" s="141">
        <v>7.6717548248288303E-2</v>
      </c>
      <c r="E21" s="141">
        <v>7.1309051032379139E-2</v>
      </c>
      <c r="F21" s="141">
        <v>4.776554369177962E-2</v>
      </c>
      <c r="G21" s="141">
        <v>1.2589837284477205E-2</v>
      </c>
      <c r="H21" s="141">
        <v>9.5239154533755151E-3</v>
      </c>
      <c r="I21" s="141">
        <v>4.896946725584609E-3</v>
      </c>
    </row>
    <row r="22" spans="1:20" s="49" customFormat="1">
      <c r="C22" s="168" t="s">
        <v>13</v>
      </c>
      <c r="D22" s="141">
        <v>1.2299390315874597</v>
      </c>
      <c r="E22" s="141">
        <v>0.88983474343449753</v>
      </c>
      <c r="F22" s="141">
        <v>0.39037512038341876</v>
      </c>
      <c r="G22" s="141">
        <v>0.23476774386892493</v>
      </c>
      <c r="H22" s="141">
        <v>0.39344946125402003</v>
      </c>
      <c r="I22" s="141">
        <v>0.15530187217963329</v>
      </c>
      <c r="J22" s="174"/>
      <c r="K22" s="17"/>
      <c r="L22" s="174"/>
      <c r="M22" s="174"/>
      <c r="N22" s="17"/>
      <c r="O22" s="174"/>
      <c r="P22" s="174"/>
      <c r="Q22" s="17"/>
      <c r="R22" s="174"/>
      <c r="S22" s="174"/>
      <c r="T22" s="16"/>
    </row>
    <row r="23" spans="1:20" s="49" customFormat="1">
      <c r="C23" s="168" t="s">
        <v>14</v>
      </c>
      <c r="D23" s="141">
        <v>0.25652234690313341</v>
      </c>
      <c r="E23" s="141">
        <v>0.72513473501091408</v>
      </c>
      <c r="F23" s="141">
        <v>0.53312370219202532</v>
      </c>
      <c r="G23" s="141">
        <v>0.56840435145714863</v>
      </c>
      <c r="H23" s="141">
        <v>0.50342085400959025</v>
      </c>
      <c r="I23" s="141">
        <v>0.49231201003055725</v>
      </c>
    </row>
    <row r="24" spans="1:20" s="49" customFormat="1">
      <c r="C24" s="171" t="s">
        <v>15</v>
      </c>
      <c r="D24" s="141">
        <v>3.1660295763144226E-2</v>
      </c>
      <c r="E24" s="141">
        <v>0</v>
      </c>
      <c r="F24" s="141">
        <v>2.178485574496173E-2</v>
      </c>
      <c r="G24" s="141">
        <v>1.0394909853491766E-2</v>
      </c>
      <c r="H24" s="141">
        <v>8.5697307282754619E-3</v>
      </c>
      <c r="I24" s="141">
        <v>1.105791943967357E-2</v>
      </c>
    </row>
    <row r="25" spans="1:20" s="703" customFormat="1">
      <c r="A25" s="635"/>
      <c r="B25" s="694" t="s">
        <v>557</v>
      </c>
      <c r="C25" s="635"/>
      <c r="D25" s="702">
        <v>1.5948392225020269</v>
      </c>
      <c r="E25" s="702">
        <v>1.6862785294777927</v>
      </c>
      <c r="F25" s="702">
        <v>0.9930492220121856</v>
      </c>
      <c r="G25" s="702">
        <v>0.82615684246404253</v>
      </c>
      <c r="H25" s="702">
        <v>0.91496396144526115</v>
      </c>
      <c r="I25" s="702">
        <v>0.66356874837544866</v>
      </c>
    </row>
    <row r="26" spans="1:20" ht="16.5">
      <c r="A26" s="306" t="s">
        <v>558</v>
      </c>
      <c r="B26" s="307"/>
      <c r="C26" s="307"/>
      <c r="D26" s="15">
        <v>2.776983435437768</v>
      </c>
      <c r="E26" s="15">
        <v>2.8656074703379044</v>
      </c>
      <c r="F26" s="15">
        <v>1.7241187258364308</v>
      </c>
      <c r="G26" s="15">
        <v>1.5172898402045527</v>
      </c>
      <c r="H26" s="15">
        <v>1.7323375885904606</v>
      </c>
      <c r="I26" s="15">
        <v>1.3688923308822245</v>
      </c>
    </row>
    <row r="27" spans="1:20">
      <c r="A27" s="278" t="s">
        <v>240</v>
      </c>
      <c r="B27" s="168"/>
    </row>
    <row r="28" spans="1:20">
      <c r="A28" s="270" t="s">
        <v>214</v>
      </c>
      <c r="B28" s="168"/>
    </row>
    <row r="29" spans="1:20">
      <c r="B29" s="168"/>
    </row>
    <row r="30" spans="1:20">
      <c r="A30" s="40" t="s">
        <v>170</v>
      </c>
    </row>
  </sheetData>
  <mergeCells count="3">
    <mergeCell ref="A6:I6"/>
    <mergeCell ref="A5:I5"/>
    <mergeCell ref="A11:C11"/>
  </mergeCells>
  <hyperlinks>
    <hyperlink ref="C1" location="Indice!A1" display="Cuadro 4.2 Gasto ambiental de la administración central de gobierno  como porcentaje del presupuesto general  de egresos 23/"/>
  </hyperlinks>
  <pageMargins left="0.7" right="0.7" top="0.75" bottom="0.75" header="0.3" footer="0.3"/>
  <pageSetup scale="93" orientation="portrait" r:id="rId1"/>
</worksheet>
</file>

<file path=xl/worksheets/sheet23.xml><?xml version="1.0" encoding="utf-8"?>
<worksheet xmlns="http://schemas.openxmlformats.org/spreadsheetml/2006/main" xmlns:r="http://schemas.openxmlformats.org/officeDocument/2006/relationships">
  <sheetPr>
    <tabColor theme="3" tint="0.39997558519241921"/>
    <pageSetUpPr fitToPage="1"/>
  </sheetPr>
  <dimension ref="A1:U27"/>
  <sheetViews>
    <sheetView showGridLines="0" topLeftCell="A2" workbookViewId="0">
      <selection activeCell="A2" sqref="A2"/>
    </sheetView>
  </sheetViews>
  <sheetFormatPr baseColWidth="10" defaultRowHeight="12.75"/>
  <cols>
    <col min="1" max="1" width="1.5" customWidth="1"/>
    <col min="2" max="2" width="1.33203125" customWidth="1"/>
    <col min="3" max="3" width="53.5" customWidth="1"/>
    <col min="4" max="4" width="12.33203125" customWidth="1"/>
    <col min="5" max="5" width="12.1640625" customWidth="1"/>
    <col min="6" max="7" width="13.1640625" customWidth="1"/>
    <col min="8" max="8" width="12.83203125" customWidth="1"/>
    <col min="9" max="9" width="13.1640625" customWidth="1"/>
  </cols>
  <sheetData>
    <row r="1" spans="1:21" hidden="1">
      <c r="A1" s="7" t="s">
        <v>310</v>
      </c>
      <c r="D1" s="44"/>
      <c r="E1" s="44"/>
      <c r="F1" s="44"/>
      <c r="G1" s="44"/>
      <c r="H1" s="44"/>
      <c r="I1" s="44"/>
      <c r="J1" s="44"/>
      <c r="K1" s="44"/>
      <c r="L1" s="44"/>
      <c r="M1" s="44"/>
      <c r="N1" s="44"/>
      <c r="O1" s="44"/>
      <c r="P1" s="44"/>
      <c r="Q1" s="44"/>
      <c r="R1" s="44"/>
      <c r="S1" s="44"/>
      <c r="T1" s="44"/>
      <c r="U1" s="44"/>
    </row>
    <row r="2" spans="1:21">
      <c r="A2" s="19" t="s">
        <v>187</v>
      </c>
      <c r="B2" s="19"/>
      <c r="C2" s="19"/>
      <c r="D2" s="19"/>
      <c r="E2" s="19"/>
      <c r="F2" s="19"/>
      <c r="G2" s="19"/>
      <c r="H2" s="19"/>
      <c r="I2" s="19"/>
      <c r="J2" s="3"/>
      <c r="K2" s="3"/>
      <c r="L2" s="19"/>
      <c r="M2" s="19"/>
      <c r="N2" s="19"/>
      <c r="O2" s="19"/>
      <c r="P2" s="19"/>
      <c r="Q2" s="19"/>
      <c r="R2" s="19"/>
      <c r="S2" s="19"/>
      <c r="T2" s="19"/>
      <c r="U2" s="19"/>
    </row>
    <row r="3" spans="1:21" ht="27.75" customHeight="1">
      <c r="A3" s="545" t="s">
        <v>494</v>
      </c>
      <c r="B3" s="545"/>
      <c r="C3" s="545"/>
      <c r="D3" s="545"/>
      <c r="E3" s="545"/>
      <c r="F3" s="545"/>
      <c r="G3" s="545"/>
      <c r="H3" s="545"/>
      <c r="I3" s="545"/>
      <c r="J3" s="3"/>
      <c r="K3" s="3"/>
      <c r="L3" s="3"/>
      <c r="M3" s="3"/>
      <c r="N3" s="3"/>
      <c r="O3" s="3"/>
      <c r="P3" s="3"/>
      <c r="Q3" s="3"/>
      <c r="R3" s="3"/>
      <c r="S3" s="3"/>
      <c r="T3" s="3"/>
      <c r="U3" s="3"/>
    </row>
    <row r="4" spans="1:21">
      <c r="A4" s="552" t="s">
        <v>17</v>
      </c>
      <c r="B4" s="552"/>
      <c r="C4" s="552"/>
      <c r="D4" s="552"/>
      <c r="E4" s="552"/>
      <c r="F4" s="552"/>
      <c r="G4" s="552"/>
      <c r="H4" s="552"/>
      <c r="I4" s="552"/>
      <c r="J4" s="347"/>
      <c r="K4" s="347"/>
      <c r="L4" s="18"/>
      <c r="M4" s="18"/>
      <c r="N4" s="18"/>
      <c r="O4" s="18"/>
      <c r="P4" s="18"/>
      <c r="Q4" s="18"/>
      <c r="R4" s="18"/>
      <c r="S4" s="18"/>
      <c r="T4" s="18"/>
      <c r="U4" s="18"/>
    </row>
    <row r="5" spans="1:21">
      <c r="A5" s="552" t="s">
        <v>246</v>
      </c>
      <c r="B5" s="552"/>
      <c r="C5" s="552"/>
      <c r="D5" s="552"/>
      <c r="E5" s="552"/>
      <c r="F5" s="552"/>
      <c r="G5" s="552"/>
      <c r="H5" s="552"/>
      <c r="I5" s="552"/>
      <c r="J5" s="347"/>
      <c r="K5" s="347"/>
      <c r="L5" s="18"/>
      <c r="M5" s="18"/>
      <c r="N5" s="18"/>
      <c r="O5" s="18"/>
      <c r="P5" s="18"/>
      <c r="Q5" s="18"/>
      <c r="R5" s="18"/>
      <c r="S5" s="18"/>
      <c r="T5" s="18"/>
      <c r="U5" s="18"/>
    </row>
    <row r="6" spans="1:21">
      <c r="A6" s="704" t="s">
        <v>29</v>
      </c>
      <c r="B6" s="704"/>
      <c r="C6" s="704"/>
      <c r="D6" s="704"/>
      <c r="E6" s="704"/>
      <c r="F6" s="704"/>
      <c r="G6" s="704"/>
      <c r="H6" s="704"/>
      <c r="I6" s="704"/>
      <c r="J6" s="109"/>
      <c r="K6" s="109"/>
      <c r="L6" s="18"/>
      <c r="M6" s="18"/>
      <c r="N6" s="18"/>
      <c r="O6" s="18"/>
      <c r="P6" s="18"/>
      <c r="Q6" s="18"/>
      <c r="R6" s="18"/>
      <c r="S6" s="18"/>
      <c r="T6" s="18"/>
      <c r="U6" s="18"/>
    </row>
    <row r="7" spans="1:21" s="529" customFormat="1">
      <c r="A7" s="108"/>
      <c r="B7" s="108"/>
      <c r="C7" s="108"/>
      <c r="D7" s="108"/>
      <c r="E7" s="108"/>
      <c r="F7" s="108"/>
      <c r="G7" s="108"/>
      <c r="H7" s="108"/>
      <c r="I7" s="108"/>
      <c r="J7" s="109"/>
      <c r="K7" s="109"/>
      <c r="L7" s="18"/>
      <c r="M7" s="18"/>
      <c r="N7" s="18"/>
      <c r="O7" s="18"/>
      <c r="P7" s="18"/>
      <c r="Q7" s="18"/>
      <c r="R7" s="18"/>
      <c r="S7" s="18"/>
      <c r="T7" s="18"/>
      <c r="U7" s="18"/>
    </row>
    <row r="8" spans="1:21">
      <c r="A8" s="600" t="s">
        <v>555</v>
      </c>
      <c r="B8" s="600"/>
      <c r="C8" s="600"/>
      <c r="D8" s="612"/>
      <c r="E8" s="612"/>
      <c r="F8" s="612"/>
      <c r="G8" s="705" t="s">
        <v>34</v>
      </c>
      <c r="H8" s="612"/>
      <c r="I8" s="612"/>
      <c r="J8" s="283"/>
      <c r="K8" s="283"/>
      <c r="L8" s="345"/>
      <c r="M8" s="345"/>
      <c r="N8" s="345"/>
      <c r="O8" s="345"/>
      <c r="P8" s="345"/>
      <c r="Q8" s="345"/>
      <c r="R8" s="32"/>
      <c r="S8" s="32"/>
      <c r="T8" s="345"/>
      <c r="U8" s="32"/>
    </row>
    <row r="9" spans="1:21">
      <c r="A9" s="602"/>
      <c r="B9" s="602"/>
      <c r="C9" s="602"/>
      <c r="D9" s="629">
        <v>2001</v>
      </c>
      <c r="E9" s="629">
        <v>2002</v>
      </c>
      <c r="F9" s="629">
        <v>2003</v>
      </c>
      <c r="G9" s="629">
        <v>2004</v>
      </c>
      <c r="H9" s="629">
        <v>2005</v>
      </c>
      <c r="I9" s="629">
        <v>2006</v>
      </c>
      <c r="L9" s="283"/>
      <c r="M9" s="346"/>
      <c r="N9" s="346"/>
      <c r="O9" s="283"/>
      <c r="P9" s="346"/>
      <c r="Q9" s="346"/>
      <c r="R9" s="283"/>
      <c r="S9" s="346"/>
      <c r="T9" s="346"/>
      <c r="U9" s="283"/>
    </row>
    <row r="10" spans="1:21">
      <c r="A10" s="151" t="s">
        <v>211</v>
      </c>
      <c r="B10" s="97"/>
      <c r="C10" s="151"/>
      <c r="D10" s="152"/>
      <c r="E10" s="153"/>
      <c r="F10" s="152"/>
      <c r="G10" s="152"/>
      <c r="H10" s="152"/>
      <c r="I10" s="152"/>
      <c r="L10" s="283"/>
      <c r="M10" s="152"/>
      <c r="N10" s="152"/>
      <c r="O10" s="283"/>
      <c r="P10" s="152"/>
      <c r="Q10" s="152"/>
      <c r="R10" s="283"/>
      <c r="S10" s="152"/>
      <c r="T10" s="152"/>
      <c r="U10" s="283"/>
    </row>
    <row r="11" spans="1:21">
      <c r="A11" s="97"/>
      <c r="B11" s="97"/>
      <c r="C11" s="819" t="s">
        <v>161</v>
      </c>
      <c r="D11" s="324">
        <v>1.4994749039028599</v>
      </c>
      <c r="E11" s="324">
        <v>1.2498909367548801</v>
      </c>
      <c r="F11" s="324">
        <v>0.26524868037299404</v>
      </c>
      <c r="G11" s="324">
        <v>3.1906970968985301E-2</v>
      </c>
      <c r="H11" s="324">
        <v>0.98682759305300705</v>
      </c>
      <c r="I11" s="324">
        <v>0.393733833821243</v>
      </c>
      <c r="L11" s="283"/>
      <c r="M11" s="324"/>
      <c r="N11" s="324"/>
      <c r="O11" s="283"/>
      <c r="P11" s="324"/>
      <c r="Q11" s="324"/>
      <c r="R11" s="283"/>
      <c r="S11" s="324"/>
      <c r="T11" s="324"/>
      <c r="U11" s="283"/>
    </row>
    <row r="12" spans="1:21" ht="25.5">
      <c r="A12" s="97"/>
      <c r="B12" s="97"/>
      <c r="C12" s="156" t="s">
        <v>8</v>
      </c>
      <c r="D12" s="846">
        <v>0</v>
      </c>
      <c r="E12" s="846">
        <v>0.30329450397310997</v>
      </c>
      <c r="F12" s="846">
        <v>0</v>
      </c>
      <c r="G12" s="846">
        <v>0</v>
      </c>
      <c r="H12" s="846">
        <v>0</v>
      </c>
      <c r="I12" s="846">
        <v>0</v>
      </c>
      <c r="L12" s="283"/>
      <c r="M12" s="324"/>
      <c r="N12" s="324"/>
      <c r="O12" s="283"/>
      <c r="P12" s="324"/>
      <c r="Q12" s="324"/>
      <c r="R12" s="283"/>
      <c r="S12" s="324"/>
      <c r="T12" s="324"/>
      <c r="U12" s="283"/>
    </row>
    <row r="13" spans="1:21">
      <c r="A13" s="97"/>
      <c r="B13" s="97"/>
      <c r="C13" s="154" t="s">
        <v>9</v>
      </c>
      <c r="D13" s="324">
        <v>24.797076344259299</v>
      </c>
      <c r="E13" s="324">
        <v>28.001138838296601</v>
      </c>
      <c r="F13" s="324">
        <v>29.515874610767401</v>
      </c>
      <c r="G13" s="324">
        <v>30.523314127595302</v>
      </c>
      <c r="H13" s="324">
        <v>29.043467205266499</v>
      </c>
      <c r="I13" s="324">
        <v>36.309952970116299</v>
      </c>
      <c r="L13" s="283"/>
      <c r="M13" s="324"/>
      <c r="N13" s="324"/>
      <c r="O13" s="283"/>
      <c r="P13" s="324"/>
      <c r="Q13" s="324"/>
      <c r="R13" s="283"/>
      <c r="S13" s="324"/>
      <c r="T13" s="324"/>
      <c r="U13" s="283"/>
    </row>
    <row r="14" spans="1:21">
      <c r="A14" s="97"/>
      <c r="B14" s="97"/>
      <c r="C14" s="154" t="s">
        <v>10</v>
      </c>
      <c r="D14" s="324">
        <v>1.39524918485016</v>
      </c>
      <c r="E14" s="324">
        <v>1.30231832747792</v>
      </c>
      <c r="F14" s="324">
        <v>1.8983764196708102</v>
      </c>
      <c r="G14" s="324">
        <v>1.70037728383743</v>
      </c>
      <c r="H14" s="324">
        <v>1.53041016209794</v>
      </c>
      <c r="I14" s="324">
        <v>2.1753052749609201</v>
      </c>
      <c r="L14" s="283"/>
      <c r="M14" s="324"/>
      <c r="N14" s="324"/>
      <c r="O14" s="283"/>
      <c r="P14" s="324"/>
      <c r="Q14" s="324"/>
      <c r="R14" s="283"/>
      <c r="S14" s="324"/>
      <c r="T14" s="324"/>
      <c r="U14" s="283"/>
    </row>
    <row r="15" spans="1:21">
      <c r="A15" s="97"/>
      <c r="B15" s="97"/>
      <c r="C15" s="154" t="s">
        <v>11</v>
      </c>
      <c r="D15" s="324">
        <v>14.6105823534423</v>
      </c>
      <c r="E15" s="324">
        <v>9.8333648933990006</v>
      </c>
      <c r="F15" s="324">
        <v>9.756093773660659</v>
      </c>
      <c r="G15" s="324">
        <v>13.046597875821901</v>
      </c>
      <c r="H15" s="324">
        <v>18.351647954432302</v>
      </c>
      <c r="I15" s="324">
        <v>14.5404615968657</v>
      </c>
      <c r="L15" s="283"/>
      <c r="M15" s="324"/>
      <c r="N15" s="324"/>
      <c r="O15" s="283"/>
      <c r="P15" s="324"/>
      <c r="Q15" s="324"/>
      <c r="R15" s="283"/>
      <c r="S15" s="324"/>
      <c r="T15" s="324"/>
      <c r="U15" s="283"/>
    </row>
    <row r="16" spans="1:21" s="703" customFormat="1">
      <c r="A16" s="638"/>
      <c r="B16" s="631" t="s">
        <v>556</v>
      </c>
      <c r="C16" s="631"/>
      <c r="D16" s="706">
        <v>42.302382786454601</v>
      </c>
      <c r="E16" s="706">
        <v>40.690007499901498</v>
      </c>
      <c r="F16" s="706">
        <v>41.435593484471802</v>
      </c>
      <c r="G16" s="706">
        <v>45.302196258223695</v>
      </c>
      <c r="H16" s="706">
        <v>49.912352914849698</v>
      </c>
      <c r="I16" s="706">
        <v>53.419453675764096</v>
      </c>
      <c r="L16" s="707"/>
      <c r="M16" s="706"/>
      <c r="N16" s="706"/>
      <c r="O16" s="707"/>
      <c r="P16" s="706"/>
      <c r="Q16" s="706"/>
      <c r="R16" s="707"/>
      <c r="S16" s="706"/>
      <c r="T16" s="706"/>
      <c r="U16" s="707"/>
    </row>
    <row r="17" spans="1:21">
      <c r="A17" s="151" t="s">
        <v>212</v>
      </c>
      <c r="B17" s="97"/>
      <c r="C17" s="159"/>
      <c r="D17" s="324"/>
      <c r="E17" s="324"/>
      <c r="F17" s="324"/>
      <c r="G17" s="325"/>
      <c r="H17" s="325"/>
      <c r="I17" s="325"/>
      <c r="L17" s="283"/>
      <c r="M17" s="325"/>
      <c r="N17" s="325"/>
      <c r="O17" s="283"/>
      <c r="P17" s="325"/>
      <c r="Q17" s="325"/>
      <c r="R17" s="283"/>
      <c r="S17" s="325"/>
      <c r="T17" s="325"/>
      <c r="U17" s="283"/>
    </row>
    <row r="18" spans="1:21">
      <c r="A18" s="97"/>
      <c r="B18" s="97"/>
      <c r="C18" s="154" t="s">
        <v>12</v>
      </c>
      <c r="D18" s="324">
        <v>2.7754645546321299</v>
      </c>
      <c r="E18" s="324">
        <v>2.5080905722195799</v>
      </c>
      <c r="F18" s="324">
        <v>2.8169406472444503</v>
      </c>
      <c r="G18" s="324">
        <v>0.83354202680613199</v>
      </c>
      <c r="H18" s="324">
        <v>0.60983645461368308</v>
      </c>
      <c r="I18" s="324">
        <v>0.37884389248291001</v>
      </c>
      <c r="L18" s="283"/>
      <c r="M18" s="324"/>
      <c r="N18" s="324"/>
      <c r="O18" s="283"/>
      <c r="P18" s="324"/>
      <c r="Q18" s="324"/>
      <c r="R18" s="283"/>
      <c r="S18" s="324"/>
      <c r="T18" s="324"/>
      <c r="U18" s="283"/>
    </row>
    <row r="19" spans="1:21">
      <c r="A19" s="97"/>
      <c r="B19" s="97"/>
      <c r="C19" s="154" t="s">
        <v>13</v>
      </c>
      <c r="D19" s="324">
        <v>44.496367056486704</v>
      </c>
      <c r="E19" s="324">
        <v>31.297375277482097</v>
      </c>
      <c r="F19" s="324">
        <v>23.022108810838198</v>
      </c>
      <c r="G19" s="324">
        <v>15.5433923911378</v>
      </c>
      <c r="H19" s="324">
        <v>16.6939703580504</v>
      </c>
      <c r="I19" s="324">
        <v>7.2593503651019002</v>
      </c>
      <c r="L19" s="283"/>
      <c r="M19" s="324"/>
      <c r="N19" s="324"/>
      <c r="O19" s="283"/>
      <c r="P19" s="324"/>
      <c r="Q19" s="324"/>
      <c r="R19" s="283"/>
      <c r="S19" s="324"/>
      <c r="T19" s="324"/>
      <c r="U19" s="283"/>
    </row>
    <row r="20" spans="1:21">
      <c r="A20" s="97"/>
      <c r="B20" s="97"/>
      <c r="C20" s="154" t="s">
        <v>14</v>
      </c>
      <c r="D20" s="324">
        <v>9.2803888752607389</v>
      </c>
      <c r="E20" s="324">
        <v>25.504526650396802</v>
      </c>
      <c r="F20" s="324">
        <v>31.440609917575703</v>
      </c>
      <c r="G20" s="324">
        <v>37.632648020255196</v>
      </c>
      <c r="H20" s="324">
        <v>32.235102284427704</v>
      </c>
      <c r="I20" s="324">
        <v>38.086875076999199</v>
      </c>
      <c r="L20" s="283"/>
      <c r="M20" s="324"/>
      <c r="N20" s="324"/>
      <c r="O20" s="283"/>
      <c r="P20" s="324"/>
      <c r="Q20" s="324"/>
      <c r="R20" s="283"/>
      <c r="S20" s="324"/>
      <c r="T20" s="324"/>
      <c r="U20" s="283"/>
    </row>
    <row r="21" spans="1:21">
      <c r="A21" s="97"/>
      <c r="B21" s="97"/>
      <c r="C21" s="154" t="s">
        <v>15</v>
      </c>
      <c r="D21" s="324">
        <v>1.1453967271658398</v>
      </c>
      <c r="E21" s="324">
        <v>0</v>
      </c>
      <c r="F21" s="324">
        <v>1.2847471398697901</v>
      </c>
      <c r="G21" s="324">
        <v>0.68822130357710598</v>
      </c>
      <c r="H21" s="324">
        <v>0.54873798805859597</v>
      </c>
      <c r="I21" s="324">
        <v>0.85547698965180197</v>
      </c>
      <c r="L21" s="283"/>
      <c r="M21" s="324"/>
      <c r="N21" s="324"/>
      <c r="O21" s="283"/>
      <c r="P21" s="324"/>
      <c r="Q21" s="324"/>
      <c r="R21" s="283"/>
      <c r="S21" s="324"/>
      <c r="T21" s="324"/>
      <c r="U21" s="283"/>
    </row>
    <row r="22" spans="1:21" s="703" customFormat="1">
      <c r="A22" s="638"/>
      <c r="B22" s="631" t="s">
        <v>557</v>
      </c>
      <c r="C22" s="631"/>
      <c r="D22" s="706">
        <v>57.697617213545406</v>
      </c>
      <c r="E22" s="706">
        <v>59.309992500098495</v>
      </c>
      <c r="F22" s="706">
        <v>58.564406515528198</v>
      </c>
      <c r="G22" s="706">
        <v>54.697803741776298</v>
      </c>
      <c r="H22" s="706">
        <v>50.087647085150302</v>
      </c>
      <c r="I22" s="706">
        <v>46.580546324235897</v>
      </c>
      <c r="L22" s="707"/>
      <c r="M22" s="706"/>
      <c r="N22" s="706"/>
      <c r="O22" s="707"/>
      <c r="P22" s="706"/>
      <c r="Q22" s="706"/>
      <c r="R22" s="707"/>
      <c r="S22" s="706"/>
      <c r="T22" s="706"/>
      <c r="U22" s="707"/>
    </row>
    <row r="23" spans="1:21">
      <c r="A23" s="160" t="s">
        <v>558</v>
      </c>
      <c r="B23" s="99"/>
      <c r="C23" s="160"/>
      <c r="D23" s="326">
        <v>100</v>
      </c>
      <c r="E23" s="326">
        <v>100</v>
      </c>
      <c r="F23" s="326">
        <v>100</v>
      </c>
      <c r="G23" s="326">
        <v>100</v>
      </c>
      <c r="H23" s="326">
        <v>100</v>
      </c>
      <c r="I23" s="326">
        <v>100</v>
      </c>
      <c r="L23" s="283"/>
      <c r="M23" s="325"/>
      <c r="N23" s="325"/>
      <c r="O23" s="283"/>
      <c r="P23" s="325"/>
      <c r="Q23" s="325"/>
      <c r="R23" s="283"/>
      <c r="S23" s="325"/>
      <c r="T23" s="325"/>
      <c r="U23" s="283"/>
    </row>
    <row r="24" spans="1:21">
      <c r="A24" s="270" t="s">
        <v>240</v>
      </c>
      <c r="B24" s="44"/>
      <c r="C24" s="76"/>
      <c r="D24" s="158"/>
      <c r="E24" s="158"/>
      <c r="F24" s="158"/>
      <c r="G24" s="158"/>
      <c r="H24" s="158"/>
      <c r="I24" s="158"/>
      <c r="J24" s="158"/>
      <c r="K24" s="158"/>
      <c r="L24" s="158"/>
      <c r="M24" s="158"/>
      <c r="N24" s="97"/>
      <c r="O24" s="97"/>
      <c r="P24" s="97"/>
      <c r="Q24" s="97"/>
      <c r="R24" s="97"/>
      <c r="S24" s="97"/>
      <c r="T24" s="97"/>
      <c r="U24" s="97"/>
    </row>
    <row r="25" spans="1:21">
      <c r="A25" s="270" t="s">
        <v>214</v>
      </c>
      <c r="B25" s="44"/>
      <c r="C25" s="40"/>
      <c r="D25" s="158"/>
      <c r="E25" s="158"/>
      <c r="F25" s="158"/>
      <c r="G25" s="158"/>
      <c r="H25" s="158"/>
      <c r="I25" s="158"/>
      <c r="J25" s="158"/>
      <c r="K25" s="158"/>
      <c r="L25" s="158"/>
      <c r="M25" s="158"/>
      <c r="N25" s="97"/>
      <c r="O25" s="97"/>
      <c r="P25" s="97"/>
      <c r="Q25" s="97"/>
      <c r="R25" s="97"/>
      <c r="S25" s="97"/>
      <c r="T25" s="97"/>
      <c r="U25" s="97"/>
    </row>
    <row r="26" spans="1:21">
      <c r="B26" s="44"/>
      <c r="C26" s="40"/>
      <c r="D26" s="28"/>
      <c r="E26" s="28"/>
      <c r="F26" s="28"/>
      <c r="G26" s="28"/>
      <c r="H26" s="28"/>
      <c r="I26" s="28"/>
      <c r="J26" s="28"/>
      <c r="K26" s="28"/>
      <c r="L26" s="28"/>
      <c r="M26" s="28"/>
      <c r="N26" s="28"/>
      <c r="O26" s="28"/>
      <c r="P26" s="28"/>
      <c r="Q26" s="28"/>
      <c r="R26" s="28"/>
      <c r="S26" s="28"/>
      <c r="T26" s="28"/>
      <c r="U26" s="28"/>
    </row>
    <row r="27" spans="1:21">
      <c r="A27" s="40" t="s">
        <v>170</v>
      </c>
    </row>
  </sheetData>
  <mergeCells count="5">
    <mergeCell ref="A5:I5"/>
    <mergeCell ref="A4:I4"/>
    <mergeCell ref="A3:I3"/>
    <mergeCell ref="A6:I6"/>
    <mergeCell ref="A8:C9"/>
  </mergeCells>
  <hyperlinks>
    <hyperlink ref="A1" location="Indice!A1" display="Cuadro 4.1 Estructura porcentual del gasto ambiental de la Administración central"/>
  </hyperlinks>
  <pageMargins left="0.7" right="0.7" top="0.75" bottom="0.75" header="0.3" footer="0.3"/>
  <pageSetup scale="84" orientation="portrait" r:id="rId1"/>
</worksheet>
</file>

<file path=xl/worksheets/sheet24.xml><?xml version="1.0" encoding="utf-8"?>
<worksheet xmlns="http://schemas.openxmlformats.org/spreadsheetml/2006/main" xmlns:r="http://schemas.openxmlformats.org/officeDocument/2006/relationships">
  <sheetPr>
    <tabColor theme="3" tint="0.39997558519241921"/>
    <pageSetUpPr fitToPage="1"/>
  </sheetPr>
  <dimension ref="A1:V64"/>
  <sheetViews>
    <sheetView showGridLines="0" topLeftCell="A2" workbookViewId="0">
      <selection activeCell="A2" sqref="A2"/>
    </sheetView>
  </sheetViews>
  <sheetFormatPr baseColWidth="10" defaultRowHeight="12.75"/>
  <cols>
    <col min="1" max="2" width="1.83203125" style="44" customWidth="1"/>
    <col min="3" max="3" width="50.33203125" style="76" customWidth="1"/>
    <col min="4" max="4" width="9.1640625" style="44" customWidth="1"/>
    <col min="5" max="5" width="7.5" style="44" customWidth="1"/>
    <col min="6" max="6" width="6.6640625" style="44" customWidth="1"/>
    <col min="7" max="7" width="8.83203125" style="44" customWidth="1"/>
    <col min="8" max="8" width="7.83203125" style="44" customWidth="1"/>
    <col min="9" max="9" width="6.83203125" style="44" customWidth="1"/>
    <col min="10" max="10" width="9.5" style="44" customWidth="1"/>
    <col min="11" max="12" width="7.6640625" style="44" customWidth="1"/>
    <col min="13" max="13" width="8.83203125" style="44" customWidth="1"/>
    <col min="14" max="14" width="8.33203125" style="44" customWidth="1"/>
    <col min="15" max="15" width="8.83203125" style="44" customWidth="1"/>
    <col min="16" max="17" width="8.6640625" style="44" customWidth="1"/>
    <col min="18" max="18" width="8.33203125" style="44" customWidth="1"/>
    <col min="19" max="19" width="9" style="44" customWidth="1"/>
    <col min="20" max="20" width="7.6640625" style="44" customWidth="1"/>
    <col min="21" max="21" width="8.33203125" style="44" customWidth="1"/>
    <col min="22" max="16384" width="12" style="44"/>
  </cols>
  <sheetData>
    <row r="1" spans="1:22" hidden="1">
      <c r="C1" s="7" t="s">
        <v>311</v>
      </c>
    </row>
    <row r="2" spans="1:22">
      <c r="A2" s="19" t="s">
        <v>188</v>
      </c>
      <c r="B2" s="19"/>
      <c r="C2" s="150"/>
      <c r="D2" s="19"/>
      <c r="E2" s="19"/>
      <c r="F2" s="19"/>
      <c r="G2" s="19"/>
      <c r="H2" s="19"/>
      <c r="I2" s="19"/>
      <c r="J2" s="19"/>
      <c r="K2" s="19"/>
      <c r="L2" s="19"/>
      <c r="M2" s="19"/>
      <c r="N2" s="19"/>
      <c r="O2" s="19"/>
      <c r="P2" s="19"/>
      <c r="Q2" s="19"/>
      <c r="R2" s="19"/>
      <c r="S2" s="19"/>
      <c r="T2" s="19"/>
      <c r="U2" s="19"/>
    </row>
    <row r="3" spans="1:22" ht="26.25" customHeight="1">
      <c r="A3" s="545" t="s">
        <v>249</v>
      </c>
      <c r="B3" s="545"/>
      <c r="C3" s="545"/>
      <c r="D3" s="545"/>
      <c r="E3" s="545"/>
      <c r="F3" s="545"/>
      <c r="G3" s="545"/>
      <c r="H3" s="545"/>
      <c r="I3" s="545"/>
      <c r="J3" s="545"/>
      <c r="K3" s="545"/>
      <c r="L3" s="545"/>
      <c r="M3" s="545"/>
      <c r="N3" s="545"/>
      <c r="O3" s="545"/>
      <c r="P3" s="545"/>
      <c r="Q3" s="545"/>
      <c r="R3" s="545"/>
      <c r="S3" s="545"/>
      <c r="T3" s="545"/>
      <c r="U3" s="545"/>
    </row>
    <row r="4" spans="1:22">
      <c r="C4" s="113" t="s">
        <v>17</v>
      </c>
      <c r="D4" s="18"/>
      <c r="E4" s="18"/>
      <c r="F4" s="18"/>
      <c r="G4" s="18"/>
      <c r="H4" s="18"/>
      <c r="I4" s="18"/>
      <c r="J4" s="18"/>
      <c r="K4" s="18"/>
      <c r="L4" s="18"/>
      <c r="M4" s="18"/>
      <c r="N4" s="18"/>
      <c r="O4" s="18"/>
      <c r="P4" s="18"/>
      <c r="Q4" s="18"/>
      <c r="R4" s="18"/>
      <c r="S4" s="18"/>
      <c r="T4" s="18"/>
      <c r="U4" s="18"/>
    </row>
    <row r="5" spans="1:22">
      <c r="A5" s="90"/>
      <c r="B5" s="18"/>
      <c r="C5" s="113" t="s">
        <v>246</v>
      </c>
      <c r="D5" s="18"/>
      <c r="E5" s="18"/>
      <c r="F5" s="18"/>
      <c r="G5" s="18"/>
      <c r="H5" s="18"/>
      <c r="I5" s="18"/>
      <c r="J5" s="18"/>
      <c r="K5" s="18"/>
      <c r="L5" s="18"/>
      <c r="M5" s="18"/>
      <c r="N5" s="18"/>
      <c r="O5" s="18"/>
      <c r="P5" s="18"/>
      <c r="Q5" s="18"/>
      <c r="R5" s="18"/>
      <c r="S5" s="18"/>
      <c r="T5" s="18"/>
      <c r="U5" s="18"/>
    </row>
    <row r="6" spans="1:22">
      <c r="A6" s="90"/>
      <c r="B6" s="18"/>
      <c r="C6" s="18" t="s">
        <v>29</v>
      </c>
      <c r="D6" s="18"/>
      <c r="E6" s="18"/>
      <c r="F6" s="18"/>
      <c r="G6" s="18"/>
      <c r="H6" s="18"/>
      <c r="I6" s="18"/>
      <c r="J6" s="18"/>
      <c r="K6" s="18"/>
      <c r="L6" s="18"/>
      <c r="M6" s="18"/>
      <c r="N6" s="18"/>
      <c r="O6" s="18"/>
      <c r="P6" s="18"/>
      <c r="Q6" s="18"/>
      <c r="R6" s="18"/>
      <c r="S6" s="18"/>
      <c r="T6" s="18"/>
      <c r="U6" s="18"/>
    </row>
    <row r="7" spans="1:22">
      <c r="C7" s="44"/>
      <c r="D7" s="18"/>
      <c r="E7" s="18"/>
      <c r="F7" s="18"/>
      <c r="G7" s="18"/>
      <c r="H7" s="18"/>
      <c r="I7" s="18"/>
      <c r="J7" s="18"/>
      <c r="K7" s="18"/>
      <c r="L7" s="18"/>
      <c r="M7" s="18"/>
      <c r="N7" s="18"/>
      <c r="O7" s="18"/>
      <c r="P7" s="18"/>
      <c r="Q7" s="18"/>
      <c r="R7" s="18"/>
      <c r="S7" s="18"/>
      <c r="T7" s="18"/>
      <c r="U7" s="18"/>
    </row>
    <row r="8" spans="1:22">
      <c r="A8" s="600" t="s">
        <v>555</v>
      </c>
      <c r="B8" s="600"/>
      <c r="C8" s="600"/>
      <c r="D8" s="612"/>
      <c r="E8" s="612">
        <v>2001</v>
      </c>
      <c r="F8" s="612"/>
      <c r="G8" s="613"/>
      <c r="H8" s="613">
        <v>2002</v>
      </c>
      <c r="I8" s="613"/>
      <c r="J8" s="612"/>
      <c r="K8" s="612">
        <v>2003</v>
      </c>
      <c r="L8" s="612"/>
      <c r="M8" s="613"/>
      <c r="N8" s="613">
        <v>2004</v>
      </c>
      <c r="O8" s="613"/>
      <c r="P8" s="612"/>
      <c r="Q8" s="612">
        <v>2005</v>
      </c>
      <c r="R8" s="669"/>
      <c r="S8" s="660"/>
      <c r="T8" s="613">
        <v>2006</v>
      </c>
      <c r="U8" s="660"/>
      <c r="V8" s="97"/>
    </row>
    <row r="9" spans="1:22">
      <c r="A9" s="602"/>
      <c r="B9" s="602"/>
      <c r="C9" s="602"/>
      <c r="D9" s="629" t="s">
        <v>205</v>
      </c>
      <c r="E9" s="629" t="s">
        <v>0</v>
      </c>
      <c r="F9" s="629" t="s">
        <v>559</v>
      </c>
      <c r="G9" s="627" t="s">
        <v>205</v>
      </c>
      <c r="H9" s="627" t="s">
        <v>0</v>
      </c>
      <c r="I9" s="627" t="s">
        <v>559</v>
      </c>
      <c r="J9" s="629" t="s">
        <v>205</v>
      </c>
      <c r="K9" s="629" t="s">
        <v>0</v>
      </c>
      <c r="L9" s="629" t="s">
        <v>559</v>
      </c>
      <c r="M9" s="627" t="s">
        <v>205</v>
      </c>
      <c r="N9" s="627" t="s">
        <v>0</v>
      </c>
      <c r="O9" s="627" t="s">
        <v>559</v>
      </c>
      <c r="P9" s="629" t="s">
        <v>205</v>
      </c>
      <c r="Q9" s="629" t="s">
        <v>0</v>
      </c>
      <c r="R9" s="629" t="s">
        <v>559</v>
      </c>
      <c r="S9" s="627" t="s">
        <v>205</v>
      </c>
      <c r="T9" s="627" t="s">
        <v>0</v>
      </c>
      <c r="U9" s="627" t="s">
        <v>559</v>
      </c>
      <c r="V9" s="108"/>
    </row>
    <row r="10" spans="1:22">
      <c r="A10" s="151" t="s">
        <v>211</v>
      </c>
      <c r="B10" s="97"/>
      <c r="C10" s="151"/>
      <c r="D10" s="152"/>
      <c r="E10" s="152"/>
      <c r="F10" s="152"/>
      <c r="G10" s="153"/>
      <c r="H10" s="153"/>
      <c r="I10" s="153"/>
      <c r="J10" s="152"/>
      <c r="K10" s="152"/>
      <c r="L10" s="152"/>
      <c r="M10" s="152"/>
      <c r="N10" s="152"/>
      <c r="O10" s="152"/>
      <c r="P10" s="152"/>
      <c r="Q10" s="152"/>
      <c r="R10" s="152"/>
      <c r="S10" s="152"/>
      <c r="T10" s="152"/>
      <c r="U10" s="152"/>
      <c r="V10" s="97"/>
    </row>
    <row r="11" spans="1:22">
      <c r="A11" s="97"/>
      <c r="B11" s="97"/>
      <c r="C11" s="819" t="s">
        <v>161</v>
      </c>
      <c r="D11" s="324">
        <v>0.463175840126271</v>
      </c>
      <c r="E11" s="324">
        <v>2.09587448539668</v>
      </c>
      <c r="F11" s="324">
        <v>1.4994749039028599</v>
      </c>
      <c r="G11" s="324">
        <v>1.0300034306829</v>
      </c>
      <c r="H11" s="324">
        <v>1.35824450889818</v>
      </c>
      <c r="I11" s="324">
        <v>1.2498909367548801</v>
      </c>
      <c r="J11" s="324">
        <v>0.60979695756719299</v>
      </c>
      <c r="K11" s="324">
        <v>0</v>
      </c>
      <c r="L11" s="324">
        <v>0.26524868037299404</v>
      </c>
      <c r="M11" s="324">
        <v>2.0445154339283698E-2</v>
      </c>
      <c r="N11" s="324">
        <v>4.0452586853060503E-2</v>
      </c>
      <c r="O11" s="324">
        <v>3.1906970968985301E-2</v>
      </c>
      <c r="P11" s="324">
        <v>0.14048307549654099</v>
      </c>
      <c r="Q11" s="324">
        <v>1.3857318468089399</v>
      </c>
      <c r="R11" s="324">
        <v>0.98682759305300705</v>
      </c>
      <c r="S11" s="324">
        <v>0.41847983221931695</v>
      </c>
      <c r="T11" s="324">
        <v>0.38028301866926301</v>
      </c>
      <c r="U11" s="324">
        <v>0.393733833821243</v>
      </c>
      <c r="V11" s="155"/>
    </row>
    <row r="12" spans="1:22" ht="25.5">
      <c r="A12" s="97"/>
      <c r="B12" s="97"/>
      <c r="C12" s="156" t="s">
        <v>8</v>
      </c>
      <c r="D12" s="846">
        <v>0</v>
      </c>
      <c r="E12" s="846">
        <v>0</v>
      </c>
      <c r="F12" s="846">
        <v>0</v>
      </c>
      <c r="G12" s="846">
        <v>0.91878572188869001</v>
      </c>
      <c r="H12" s="846">
        <v>0</v>
      </c>
      <c r="I12" s="846">
        <v>0.30329450397310997</v>
      </c>
      <c r="J12" s="846">
        <v>0</v>
      </c>
      <c r="K12" s="846">
        <v>0</v>
      </c>
      <c r="L12" s="846">
        <v>0</v>
      </c>
      <c r="M12" s="846">
        <v>0</v>
      </c>
      <c r="N12" s="846">
        <v>0</v>
      </c>
      <c r="O12" s="846">
        <v>0</v>
      </c>
      <c r="P12" s="846">
        <v>0</v>
      </c>
      <c r="Q12" s="846">
        <v>0</v>
      </c>
      <c r="R12" s="846">
        <v>0</v>
      </c>
      <c r="S12" s="846">
        <v>0</v>
      </c>
      <c r="T12" s="846">
        <v>0</v>
      </c>
      <c r="U12" s="846">
        <v>0</v>
      </c>
      <c r="V12" s="155"/>
    </row>
    <row r="13" spans="1:22">
      <c r="A13" s="97"/>
      <c r="B13" s="97"/>
      <c r="C13" s="154" t="s">
        <v>9</v>
      </c>
      <c r="D13" s="324">
        <v>50.809987979330593</v>
      </c>
      <c r="E13" s="324">
        <v>9.8264079774902608</v>
      </c>
      <c r="F13" s="324">
        <v>24.797076344259299</v>
      </c>
      <c r="G13" s="324">
        <v>42.918159662611998</v>
      </c>
      <c r="H13" s="324">
        <v>20.650505230575799</v>
      </c>
      <c r="I13" s="324">
        <v>28.001138838296601</v>
      </c>
      <c r="J13" s="324">
        <v>34.818967720430102</v>
      </c>
      <c r="K13" s="324">
        <v>25.433316251491799</v>
      </c>
      <c r="L13" s="324">
        <v>29.515874610767401</v>
      </c>
      <c r="M13" s="324">
        <v>42.067413176468996</v>
      </c>
      <c r="N13" s="324">
        <v>21.916350730209299</v>
      </c>
      <c r="O13" s="324">
        <v>30.523314127595302</v>
      </c>
      <c r="P13" s="324">
        <v>41.873509673801401</v>
      </c>
      <c r="Q13" s="324">
        <v>22.996333431251799</v>
      </c>
      <c r="R13" s="324">
        <v>29.043467205266499</v>
      </c>
      <c r="S13" s="324">
        <v>42.121997219091803</v>
      </c>
      <c r="T13" s="324">
        <v>33.150786320603501</v>
      </c>
      <c r="U13" s="324">
        <v>36.309952970116299</v>
      </c>
      <c r="V13" s="155"/>
    </row>
    <row r="14" spans="1:22">
      <c r="A14" s="97"/>
      <c r="B14" s="97"/>
      <c r="C14" s="154" t="s">
        <v>10</v>
      </c>
      <c r="D14" s="324">
        <v>3.8196228243716099</v>
      </c>
      <c r="E14" s="324">
        <v>0</v>
      </c>
      <c r="F14" s="324">
        <v>1.39524918485016</v>
      </c>
      <c r="G14" s="324">
        <v>3.9451802421937598</v>
      </c>
      <c r="H14" s="324">
        <v>0</v>
      </c>
      <c r="I14" s="324">
        <v>1.30231832747792</v>
      </c>
      <c r="J14" s="324">
        <v>4.3642975467576495</v>
      </c>
      <c r="K14" s="324">
        <v>0</v>
      </c>
      <c r="L14" s="324">
        <v>1.8983764196708102</v>
      </c>
      <c r="M14" s="324">
        <v>3.9047551060196204</v>
      </c>
      <c r="N14" s="324">
        <v>5.6853683666765305E-2</v>
      </c>
      <c r="O14" s="324">
        <v>1.70037728383743</v>
      </c>
      <c r="P14" s="324">
        <v>4.6784947283345302</v>
      </c>
      <c r="Q14" s="324">
        <v>4.6635766913290501E-2</v>
      </c>
      <c r="R14" s="324">
        <v>1.53041016209794</v>
      </c>
      <c r="S14" s="324">
        <v>6.1351823188624106</v>
      </c>
      <c r="T14" s="324">
        <v>2.2893669445336801E-2</v>
      </c>
      <c r="U14" s="324">
        <v>2.1753052749609201</v>
      </c>
      <c r="V14" s="155"/>
    </row>
    <row r="15" spans="1:22">
      <c r="A15" s="97"/>
      <c r="B15" s="97"/>
      <c r="C15" s="154" t="s">
        <v>11</v>
      </c>
      <c r="D15" s="324">
        <v>24.399891596875101</v>
      </c>
      <c r="E15" s="324">
        <v>8.97674542356968</v>
      </c>
      <c r="F15" s="324">
        <v>14.6105823534423</v>
      </c>
      <c r="G15" s="324">
        <v>25.545028201450897</v>
      </c>
      <c r="H15" s="324">
        <v>2.0911567336365602</v>
      </c>
      <c r="I15" s="324">
        <v>9.8333648933990006</v>
      </c>
      <c r="J15" s="324">
        <v>20.461771249070502</v>
      </c>
      <c r="K15" s="324">
        <v>1.51438423450423</v>
      </c>
      <c r="L15" s="324">
        <v>9.756093773660659</v>
      </c>
      <c r="M15" s="324">
        <v>21.6508651319241</v>
      </c>
      <c r="N15" s="324">
        <v>6.63149237290932</v>
      </c>
      <c r="O15" s="324">
        <v>13.046597875821901</v>
      </c>
      <c r="P15" s="324">
        <v>29.181949127567901</v>
      </c>
      <c r="Q15" s="324">
        <v>13.2470444297412</v>
      </c>
      <c r="R15" s="324">
        <v>18.351647954432302</v>
      </c>
      <c r="S15" s="324">
        <v>24.657391254726498</v>
      </c>
      <c r="T15" s="324">
        <v>9.0413522643421391</v>
      </c>
      <c r="U15" s="324">
        <v>14.5404615968657</v>
      </c>
      <c r="V15" s="155"/>
    </row>
    <row r="16" spans="1:22" s="635" customFormat="1">
      <c r="A16" s="638"/>
      <c r="B16" s="631" t="s">
        <v>556</v>
      </c>
      <c r="C16" s="631"/>
      <c r="D16" s="706">
        <v>79.492678240703597</v>
      </c>
      <c r="E16" s="706">
        <v>20.899027886456601</v>
      </c>
      <c r="F16" s="706">
        <v>42.302382786454601</v>
      </c>
      <c r="G16" s="706">
        <v>74.357157258828295</v>
      </c>
      <c r="H16" s="706">
        <v>24.099906473110501</v>
      </c>
      <c r="I16" s="706">
        <v>40.690007499901498</v>
      </c>
      <c r="J16" s="706">
        <v>60.2548334738254</v>
      </c>
      <c r="K16" s="706">
        <v>26.947700485996002</v>
      </c>
      <c r="L16" s="706">
        <v>41.435593484471802</v>
      </c>
      <c r="M16" s="706">
        <v>67.643478568752002</v>
      </c>
      <c r="N16" s="706">
        <v>28.6451493736385</v>
      </c>
      <c r="O16" s="706">
        <v>45.302196258223695</v>
      </c>
      <c r="P16" s="706">
        <v>75.874436605200401</v>
      </c>
      <c r="Q16" s="706">
        <v>37.6757454747152</v>
      </c>
      <c r="R16" s="706">
        <v>49.912352914849698</v>
      </c>
      <c r="S16" s="706">
        <v>73.333050624900096</v>
      </c>
      <c r="T16" s="706">
        <v>42.595315273060201</v>
      </c>
      <c r="U16" s="706">
        <v>53.419453675764096</v>
      </c>
      <c r="V16" s="708"/>
    </row>
    <row r="17" spans="1:22">
      <c r="A17" s="151" t="s">
        <v>212</v>
      </c>
      <c r="B17" s="97"/>
      <c r="C17" s="159"/>
      <c r="D17" s="324"/>
      <c r="E17" s="324"/>
      <c r="F17" s="324"/>
      <c r="G17" s="324"/>
      <c r="H17" s="324"/>
      <c r="I17" s="324"/>
      <c r="J17" s="324"/>
      <c r="K17" s="324"/>
      <c r="L17" s="324"/>
      <c r="M17" s="325"/>
      <c r="N17" s="325"/>
      <c r="O17" s="325"/>
      <c r="P17" s="325"/>
      <c r="Q17" s="325"/>
      <c r="R17" s="325"/>
      <c r="S17" s="325"/>
      <c r="T17" s="325"/>
      <c r="U17" s="325"/>
      <c r="V17" s="158"/>
    </row>
    <row r="18" spans="1:22">
      <c r="A18" s="97"/>
      <c r="B18" s="97"/>
      <c r="C18" s="154" t="s">
        <v>12</v>
      </c>
      <c r="D18" s="324">
        <v>7.5980891988450097</v>
      </c>
      <c r="E18" s="324">
        <v>0</v>
      </c>
      <c r="F18" s="324">
        <v>2.7754645546321299</v>
      </c>
      <c r="G18" s="324">
        <v>7.5978884443065802</v>
      </c>
      <c r="H18" s="324">
        <v>0</v>
      </c>
      <c r="I18" s="324">
        <v>2.5080905722195799</v>
      </c>
      <c r="J18" s="324">
        <v>6.4760429115858305</v>
      </c>
      <c r="K18" s="324">
        <v>0</v>
      </c>
      <c r="L18" s="324">
        <v>2.8169406472444503</v>
      </c>
      <c r="M18" s="324">
        <v>1.9515311798413801</v>
      </c>
      <c r="N18" s="324">
        <v>0</v>
      </c>
      <c r="O18" s="324">
        <v>0.83354202680613199</v>
      </c>
      <c r="P18" s="324">
        <v>1.8644732384419702</v>
      </c>
      <c r="Q18" s="324">
        <v>1.84934026934843E-2</v>
      </c>
      <c r="R18" s="324">
        <v>0.60983645461368308</v>
      </c>
      <c r="S18" s="324">
        <v>1.04930097383423</v>
      </c>
      <c r="T18" s="324">
        <v>1.4413485452173901E-2</v>
      </c>
      <c r="U18" s="324">
        <v>0.37884389248291001</v>
      </c>
      <c r="V18" s="155"/>
    </row>
    <row r="19" spans="1:22">
      <c r="A19" s="97"/>
      <c r="B19" s="97"/>
      <c r="C19" s="154" t="s">
        <v>13</v>
      </c>
      <c r="D19" s="324">
        <v>3.6982397195794401</v>
      </c>
      <c r="E19" s="324">
        <v>67.976062175374793</v>
      </c>
      <c r="F19" s="324">
        <v>44.496367056486704</v>
      </c>
      <c r="G19" s="324">
        <v>3.1855807741148601</v>
      </c>
      <c r="H19" s="324">
        <v>45.149973854871199</v>
      </c>
      <c r="I19" s="324">
        <v>31.297375277482097</v>
      </c>
      <c r="J19" s="324">
        <v>19.111994567145</v>
      </c>
      <c r="K19" s="324">
        <v>26.032289711155698</v>
      </c>
      <c r="L19" s="324">
        <v>23.022108810838198</v>
      </c>
      <c r="M19" s="324">
        <v>4.03504526022141</v>
      </c>
      <c r="N19" s="324">
        <v>24.1237001397858</v>
      </c>
      <c r="O19" s="324">
        <v>15.5433923911378</v>
      </c>
      <c r="P19" s="324">
        <v>5.6365598176477603</v>
      </c>
      <c r="Q19" s="324">
        <v>21.9056164532211</v>
      </c>
      <c r="R19" s="324">
        <v>16.6939703580504</v>
      </c>
      <c r="S19" s="324">
        <v>5.6511658472332602</v>
      </c>
      <c r="T19" s="324">
        <v>8.1334873601891307</v>
      </c>
      <c r="U19" s="324">
        <v>7.2593503651019002</v>
      </c>
      <c r="V19" s="155"/>
    </row>
    <row r="20" spans="1:22">
      <c r="A20" s="97"/>
      <c r="B20" s="97"/>
      <c r="C20" s="154" t="s">
        <v>14</v>
      </c>
      <c r="D20" s="324">
        <v>6.0753640732314107</v>
      </c>
      <c r="E20" s="324">
        <v>11.124909938168601</v>
      </c>
      <c r="F20" s="324">
        <v>9.2803888752607389</v>
      </c>
      <c r="G20" s="324">
        <v>14.8593735227503</v>
      </c>
      <c r="H20" s="324">
        <v>30.7501196720184</v>
      </c>
      <c r="I20" s="324">
        <v>25.504526650396802</v>
      </c>
      <c r="J20" s="324">
        <v>11.2035426392698</v>
      </c>
      <c r="K20" s="324">
        <v>47.0200098028482</v>
      </c>
      <c r="L20" s="324">
        <v>31.440609917575703</v>
      </c>
      <c r="M20" s="324">
        <v>24.7586461131813</v>
      </c>
      <c r="N20" s="324">
        <v>47.2311504865758</v>
      </c>
      <c r="O20" s="324">
        <v>37.632648020255196</v>
      </c>
      <c r="P20" s="324">
        <v>14.911549594662802</v>
      </c>
      <c r="Q20" s="324">
        <v>40.400144669370199</v>
      </c>
      <c r="R20" s="324">
        <v>32.235102284427704</v>
      </c>
      <c r="S20" s="324">
        <v>17.5371505989886</v>
      </c>
      <c r="T20" s="324">
        <v>49.256783881298496</v>
      </c>
      <c r="U20" s="324">
        <v>38.086875076999199</v>
      </c>
      <c r="V20" s="155"/>
    </row>
    <row r="21" spans="1:22">
      <c r="A21" s="97"/>
      <c r="B21" s="97"/>
      <c r="C21" s="154" t="s">
        <v>15</v>
      </c>
      <c r="D21" s="324">
        <v>3.1356287676405499</v>
      </c>
      <c r="E21" s="324">
        <v>0</v>
      </c>
      <c r="F21" s="324">
        <v>1.1453967271658398</v>
      </c>
      <c r="G21" s="324">
        <v>0</v>
      </c>
      <c r="H21" s="324">
        <v>0</v>
      </c>
      <c r="I21" s="324">
        <v>0</v>
      </c>
      <c r="J21" s="324">
        <v>2.9535864081739498</v>
      </c>
      <c r="K21" s="324">
        <v>0</v>
      </c>
      <c r="L21" s="324">
        <v>1.2847471398697901</v>
      </c>
      <c r="M21" s="324">
        <v>1.6112988780038799</v>
      </c>
      <c r="N21" s="324">
        <v>0</v>
      </c>
      <c r="O21" s="324">
        <v>0.68822130357710598</v>
      </c>
      <c r="P21" s="324">
        <v>1.7129807440471201</v>
      </c>
      <c r="Q21" s="324">
        <v>0</v>
      </c>
      <c r="R21" s="324">
        <v>0.54873798805859597</v>
      </c>
      <c r="S21" s="324">
        <v>2.4293319550438301</v>
      </c>
      <c r="T21" s="324">
        <v>0</v>
      </c>
      <c r="U21" s="324">
        <v>0.85547698965180197</v>
      </c>
      <c r="V21" s="155"/>
    </row>
    <row r="22" spans="1:22" s="635" customFormat="1">
      <c r="A22" s="638"/>
      <c r="B22" s="631" t="s">
        <v>557</v>
      </c>
      <c r="C22" s="631"/>
      <c r="D22" s="706">
        <v>20.507321759296403</v>
      </c>
      <c r="E22" s="706">
        <v>79.100972113543406</v>
      </c>
      <c r="F22" s="706">
        <v>57.697617213545406</v>
      </c>
      <c r="G22" s="706">
        <v>25.642842741171801</v>
      </c>
      <c r="H22" s="706">
        <v>75.900093526889506</v>
      </c>
      <c r="I22" s="706">
        <v>59.309992500098495</v>
      </c>
      <c r="J22" s="706">
        <v>39.7451665261746</v>
      </c>
      <c r="K22" s="706">
        <v>73.052299514004005</v>
      </c>
      <c r="L22" s="706">
        <v>58.564406515528198</v>
      </c>
      <c r="M22" s="706">
        <v>32.356521431247998</v>
      </c>
      <c r="N22" s="706">
        <v>71.354850626361497</v>
      </c>
      <c r="O22" s="706">
        <v>54.697803741776298</v>
      </c>
      <c r="P22" s="706">
        <v>24.125563394799602</v>
      </c>
      <c r="Q22" s="706">
        <v>62.324254525284793</v>
      </c>
      <c r="R22" s="706">
        <v>50.087647085150302</v>
      </c>
      <c r="S22" s="706">
        <v>26.666949375099904</v>
      </c>
      <c r="T22" s="706">
        <v>57.404684726939806</v>
      </c>
      <c r="U22" s="706">
        <v>46.580546324235897</v>
      </c>
      <c r="V22" s="708"/>
    </row>
    <row r="23" spans="1:22">
      <c r="A23" s="160" t="s">
        <v>558</v>
      </c>
      <c r="B23" s="99"/>
      <c r="C23" s="160"/>
      <c r="D23" s="326">
        <v>100</v>
      </c>
      <c r="E23" s="326">
        <v>100</v>
      </c>
      <c r="F23" s="326">
        <v>100</v>
      </c>
      <c r="G23" s="326">
        <v>100</v>
      </c>
      <c r="H23" s="326">
        <v>100</v>
      </c>
      <c r="I23" s="326">
        <v>100</v>
      </c>
      <c r="J23" s="326">
        <v>100</v>
      </c>
      <c r="K23" s="326">
        <v>100</v>
      </c>
      <c r="L23" s="326">
        <v>100</v>
      </c>
      <c r="M23" s="326">
        <v>100</v>
      </c>
      <c r="N23" s="326">
        <v>100</v>
      </c>
      <c r="O23" s="326">
        <v>100</v>
      </c>
      <c r="P23" s="326">
        <v>100</v>
      </c>
      <c r="Q23" s="326">
        <v>100</v>
      </c>
      <c r="R23" s="326">
        <v>100</v>
      </c>
      <c r="S23" s="326">
        <v>100</v>
      </c>
      <c r="T23" s="326">
        <v>100</v>
      </c>
      <c r="U23" s="326">
        <v>100</v>
      </c>
      <c r="V23" s="112"/>
    </row>
    <row r="24" spans="1:22">
      <c r="A24" s="270" t="s">
        <v>240</v>
      </c>
      <c r="D24" s="158"/>
      <c r="E24" s="158"/>
      <c r="F24" s="158"/>
      <c r="G24" s="158"/>
      <c r="H24" s="158"/>
      <c r="I24" s="158"/>
      <c r="J24" s="158"/>
      <c r="K24" s="158"/>
      <c r="L24" s="158"/>
      <c r="M24" s="158"/>
      <c r="N24" s="97"/>
      <c r="O24" s="97"/>
      <c r="P24" s="97"/>
      <c r="Q24" s="97"/>
      <c r="R24" s="97"/>
      <c r="S24" s="97"/>
      <c r="T24" s="97"/>
      <c r="U24" s="97"/>
      <c r="V24" s="97"/>
    </row>
    <row r="25" spans="1:22">
      <c r="A25" s="270" t="s">
        <v>214</v>
      </c>
      <c r="C25" s="40"/>
      <c r="D25" s="158"/>
      <c r="E25" s="158"/>
      <c r="F25" s="158"/>
      <c r="G25" s="158"/>
      <c r="H25" s="158"/>
      <c r="I25" s="158"/>
      <c r="J25" s="158"/>
      <c r="K25" s="158"/>
      <c r="L25" s="158"/>
      <c r="M25" s="158"/>
      <c r="N25" s="97"/>
      <c r="O25" s="97"/>
      <c r="P25" s="97"/>
      <c r="Q25" s="97"/>
      <c r="R25" s="97"/>
      <c r="S25" s="97"/>
      <c r="T25" s="97"/>
      <c r="U25" s="97"/>
      <c r="V25" s="97"/>
    </row>
    <row r="26" spans="1:22">
      <c r="C26" s="40"/>
      <c r="D26" s="28"/>
      <c r="E26" s="28"/>
      <c r="F26" s="28"/>
      <c r="G26" s="28"/>
      <c r="H26" s="28"/>
      <c r="I26" s="28"/>
      <c r="J26" s="28"/>
      <c r="K26" s="28"/>
      <c r="L26" s="28"/>
      <c r="M26" s="28"/>
      <c r="N26" s="28"/>
      <c r="O26" s="28"/>
      <c r="P26" s="28"/>
      <c r="Q26" s="28"/>
      <c r="R26" s="28"/>
      <c r="S26" s="28"/>
      <c r="T26" s="28"/>
      <c r="U26" s="28"/>
      <c r="V26" s="97"/>
    </row>
    <row r="27" spans="1:22">
      <c r="A27" s="40" t="s">
        <v>170</v>
      </c>
      <c r="C27" s="7"/>
    </row>
    <row r="28" spans="1:22">
      <c r="A28" s="19"/>
      <c r="B28" s="19"/>
      <c r="C28" s="150"/>
      <c r="D28" s="19"/>
      <c r="E28" s="19"/>
      <c r="F28" s="19"/>
      <c r="G28" s="19"/>
      <c r="H28" s="19"/>
      <c r="I28" s="19"/>
      <c r="J28" s="19"/>
      <c r="K28" s="19"/>
      <c r="L28" s="19"/>
      <c r="M28" s="19"/>
      <c r="N28" s="19"/>
      <c r="O28" s="19"/>
      <c r="P28" s="19"/>
      <c r="Q28" s="19"/>
      <c r="R28" s="19"/>
      <c r="S28" s="19"/>
      <c r="T28" s="19"/>
      <c r="U28" s="19"/>
    </row>
    <row r="29" spans="1:22">
      <c r="A29" s="19"/>
      <c r="B29" s="18"/>
      <c r="C29" s="150"/>
      <c r="D29" s="323"/>
      <c r="E29" s="18"/>
      <c r="F29" s="18"/>
      <c r="G29" s="18"/>
      <c r="H29" s="18"/>
      <c r="I29" s="18"/>
      <c r="J29" s="18"/>
      <c r="K29" s="18"/>
      <c r="L29" s="18"/>
      <c r="M29" s="18"/>
      <c r="N29" s="18"/>
      <c r="O29" s="18"/>
      <c r="P29" s="18"/>
      <c r="Q29" s="18"/>
      <c r="R29" s="18"/>
      <c r="S29" s="18"/>
      <c r="T29" s="18"/>
      <c r="U29" s="18"/>
    </row>
    <row r="30" spans="1:22">
      <c r="A30" s="18"/>
      <c r="B30" s="18"/>
      <c r="C30" s="113"/>
      <c r="D30" s="18"/>
      <c r="E30" s="18"/>
      <c r="F30" s="18"/>
      <c r="G30" s="18"/>
      <c r="H30" s="18"/>
      <c r="I30" s="18"/>
      <c r="J30" s="18"/>
      <c r="K30" s="18"/>
      <c r="L30" s="18"/>
      <c r="M30" s="18"/>
      <c r="N30" s="18"/>
      <c r="O30" s="18"/>
      <c r="P30" s="18"/>
      <c r="Q30" s="18"/>
      <c r="R30" s="18"/>
      <c r="S30" s="18"/>
      <c r="T30" s="18"/>
      <c r="U30" s="18"/>
    </row>
    <row r="31" spans="1:22">
      <c r="A31" s="90"/>
      <c r="B31" s="18"/>
      <c r="C31" s="113"/>
      <c r="D31" s="18"/>
      <c r="E31" s="18"/>
      <c r="F31" s="18"/>
      <c r="G31" s="18"/>
      <c r="H31" s="18"/>
      <c r="I31" s="18"/>
      <c r="J31" s="18"/>
      <c r="K31" s="18"/>
      <c r="L31" s="18"/>
      <c r="M31" s="18"/>
      <c r="N31" s="18"/>
      <c r="O31" s="18"/>
      <c r="P31" s="18"/>
      <c r="Q31" s="18"/>
      <c r="R31" s="18"/>
      <c r="S31" s="18"/>
      <c r="T31" s="18"/>
      <c r="U31" s="18"/>
    </row>
    <row r="32" spans="1:22">
      <c r="A32" s="319"/>
      <c r="B32" s="319"/>
      <c r="C32" s="84"/>
      <c r="D32" s="319"/>
      <c r="E32" s="319"/>
      <c r="F32" s="319"/>
      <c r="G32" s="319"/>
      <c r="H32" s="319"/>
      <c r="I32" s="319"/>
      <c r="J32" s="319"/>
      <c r="K32" s="319"/>
      <c r="L32" s="319"/>
      <c r="M32" s="319"/>
      <c r="N32" s="319"/>
      <c r="O32" s="319"/>
      <c r="P32" s="319"/>
      <c r="Q32" s="319"/>
      <c r="R32" s="319"/>
      <c r="S32" s="319"/>
      <c r="T32" s="319"/>
      <c r="U32" s="319"/>
    </row>
    <row r="33" spans="1:21" ht="15">
      <c r="A33" s="97"/>
      <c r="B33" s="330"/>
      <c r="C33" s="342"/>
      <c r="D33" s="342"/>
      <c r="E33" s="342"/>
      <c r="F33" s="342"/>
      <c r="G33" s="342"/>
      <c r="H33" s="342"/>
      <c r="I33" s="342"/>
      <c r="J33" s="342"/>
      <c r="K33" s="342"/>
      <c r="L33" s="342"/>
      <c r="M33" s="342"/>
      <c r="N33" s="342"/>
      <c r="O33" s="342"/>
      <c r="P33" s="342"/>
      <c r="Q33" s="342"/>
      <c r="R33" s="342"/>
      <c r="S33" s="342"/>
      <c r="T33" s="328"/>
      <c r="U33" s="187"/>
    </row>
    <row r="34" spans="1:21" ht="15">
      <c r="A34" s="97"/>
      <c r="B34" s="330"/>
      <c r="C34" s="342"/>
      <c r="D34" s="342"/>
      <c r="E34" s="342"/>
      <c r="F34" s="342"/>
      <c r="G34" s="342"/>
      <c r="H34" s="342"/>
      <c r="I34" s="342"/>
      <c r="J34" s="342"/>
      <c r="K34" s="342"/>
      <c r="L34" s="342"/>
      <c r="M34" s="342"/>
      <c r="N34" s="342"/>
      <c r="O34" s="342"/>
      <c r="P34" s="342"/>
      <c r="Q34" s="342"/>
      <c r="R34" s="342"/>
      <c r="S34" s="342"/>
      <c r="T34" s="328"/>
      <c r="U34" s="320"/>
    </row>
    <row r="35" spans="1:21" ht="13.5">
      <c r="A35" s="79"/>
      <c r="B35" s="294"/>
      <c r="C35" s="295"/>
      <c r="D35" s="295"/>
      <c r="E35" s="295"/>
      <c r="F35" s="295"/>
      <c r="G35" s="295"/>
      <c r="H35" s="295"/>
      <c r="I35" s="295"/>
      <c r="J35" s="295"/>
      <c r="K35" s="295"/>
      <c r="L35" s="295"/>
      <c r="M35" s="295"/>
      <c r="N35" s="295"/>
      <c r="O35" s="295"/>
      <c r="P35" s="295"/>
      <c r="Q35" s="295"/>
      <c r="R35" s="295"/>
      <c r="S35" s="295"/>
      <c r="T35" s="295"/>
      <c r="U35" s="161"/>
    </row>
    <row r="36" spans="1:21" ht="13.5">
      <c r="A36" s="97"/>
      <c r="B36" s="296"/>
      <c r="C36" s="295"/>
      <c r="D36" s="295"/>
      <c r="E36" s="295"/>
      <c r="F36" s="295"/>
      <c r="G36" s="295"/>
      <c r="H36" s="295"/>
      <c r="I36" s="295"/>
      <c r="J36" s="295"/>
      <c r="K36" s="295"/>
      <c r="L36" s="295"/>
      <c r="M36" s="295"/>
      <c r="N36" s="295"/>
      <c r="O36" s="295"/>
      <c r="P36" s="295"/>
      <c r="Q36" s="295"/>
      <c r="R36" s="295"/>
      <c r="S36" s="295"/>
      <c r="T36" s="295"/>
      <c r="U36" s="162"/>
    </row>
    <row r="37" spans="1:21" ht="13.5">
      <c r="A37" s="97"/>
      <c r="B37" s="296"/>
      <c r="C37" s="343"/>
      <c r="D37" s="343"/>
      <c r="E37" s="343"/>
      <c r="F37" s="343"/>
      <c r="G37" s="343"/>
      <c r="H37" s="343"/>
      <c r="I37" s="343"/>
      <c r="J37" s="343"/>
      <c r="K37" s="343"/>
      <c r="L37" s="343"/>
      <c r="M37" s="343"/>
      <c r="N37" s="343"/>
      <c r="O37" s="343"/>
      <c r="P37" s="343"/>
      <c r="Q37" s="343"/>
      <c r="R37" s="343"/>
      <c r="S37" s="343"/>
      <c r="T37" s="343"/>
      <c r="U37" s="162"/>
    </row>
    <row r="38" spans="1:21" ht="13.5">
      <c r="A38" s="97"/>
      <c r="B38" s="296"/>
      <c r="C38" s="295"/>
      <c r="D38" s="295"/>
      <c r="E38" s="295"/>
      <c r="F38" s="295"/>
      <c r="G38" s="295"/>
      <c r="H38" s="295"/>
      <c r="I38" s="295"/>
      <c r="J38" s="295"/>
      <c r="K38" s="295"/>
      <c r="L38" s="295"/>
      <c r="M38" s="295"/>
      <c r="N38" s="295"/>
      <c r="O38" s="295"/>
      <c r="P38" s="295"/>
      <c r="Q38" s="295"/>
      <c r="R38" s="295"/>
      <c r="S38" s="295"/>
      <c r="T38" s="295"/>
      <c r="U38" s="162"/>
    </row>
    <row r="39" spans="1:21" ht="13.5">
      <c r="A39" s="97"/>
      <c r="B39" s="296"/>
      <c r="C39" s="295"/>
      <c r="D39" s="295"/>
      <c r="E39" s="295"/>
      <c r="F39" s="295"/>
      <c r="G39" s="295"/>
      <c r="H39" s="295"/>
      <c r="I39" s="295"/>
      <c r="J39" s="295"/>
      <c r="K39" s="295"/>
      <c r="L39" s="295"/>
      <c r="M39" s="295"/>
      <c r="N39" s="295"/>
      <c r="O39" s="295"/>
      <c r="P39" s="295"/>
      <c r="Q39" s="295"/>
      <c r="R39" s="295"/>
      <c r="S39" s="295"/>
      <c r="T39" s="295"/>
      <c r="U39" s="162"/>
    </row>
    <row r="40" spans="1:21" ht="13.5">
      <c r="A40" s="97"/>
      <c r="B40" s="296"/>
      <c r="C40" s="295"/>
      <c r="D40" s="295"/>
      <c r="E40" s="295"/>
      <c r="F40" s="295"/>
      <c r="G40" s="295"/>
      <c r="H40" s="295"/>
      <c r="I40" s="295"/>
      <c r="J40" s="295"/>
      <c r="K40" s="295"/>
      <c r="L40" s="295"/>
      <c r="M40" s="295"/>
      <c r="N40" s="295"/>
      <c r="O40" s="295"/>
      <c r="P40" s="295"/>
      <c r="Q40" s="295"/>
      <c r="R40" s="295"/>
      <c r="S40" s="295"/>
      <c r="T40" s="295"/>
      <c r="U40" s="162"/>
    </row>
    <row r="41" spans="1:21" ht="13.5">
      <c r="A41" s="97"/>
      <c r="B41" s="294"/>
      <c r="C41" s="295"/>
      <c r="D41" s="295"/>
      <c r="E41" s="295"/>
      <c r="F41" s="295"/>
      <c r="G41" s="295"/>
      <c r="H41" s="295"/>
      <c r="I41" s="295"/>
      <c r="J41" s="295"/>
      <c r="K41" s="295"/>
      <c r="L41" s="295"/>
      <c r="M41" s="295"/>
      <c r="N41" s="295"/>
      <c r="O41" s="295"/>
      <c r="P41" s="295"/>
      <c r="Q41" s="295"/>
      <c r="R41" s="295"/>
      <c r="S41" s="295"/>
      <c r="T41" s="295"/>
      <c r="U41" s="162"/>
    </row>
    <row r="42" spans="1:21" ht="13.5">
      <c r="A42" s="97"/>
      <c r="B42" s="296"/>
      <c r="C42" s="295"/>
      <c r="D42" s="295"/>
      <c r="E42" s="295"/>
      <c r="F42" s="295"/>
      <c r="G42" s="295"/>
      <c r="H42" s="295"/>
      <c r="I42" s="295"/>
      <c r="J42" s="295"/>
      <c r="K42" s="295"/>
      <c r="L42" s="295"/>
      <c r="M42" s="295"/>
      <c r="N42" s="295"/>
      <c r="O42" s="295"/>
      <c r="P42" s="295"/>
      <c r="Q42" s="295"/>
      <c r="R42" s="295"/>
      <c r="S42" s="295"/>
      <c r="T42" s="295"/>
      <c r="U42" s="163"/>
    </row>
    <row r="43" spans="1:21" ht="13.5">
      <c r="A43" s="97"/>
      <c r="B43" s="296"/>
      <c r="C43" s="295"/>
      <c r="D43" s="295"/>
      <c r="E43" s="295"/>
      <c r="F43" s="295"/>
      <c r="G43" s="295"/>
      <c r="H43" s="295"/>
      <c r="I43" s="295"/>
      <c r="J43" s="295"/>
      <c r="K43" s="295"/>
      <c r="L43" s="295"/>
      <c r="M43" s="295"/>
      <c r="N43" s="295"/>
      <c r="O43" s="295"/>
      <c r="P43" s="295"/>
      <c r="Q43" s="295"/>
      <c r="R43" s="295"/>
      <c r="S43" s="295"/>
      <c r="T43" s="295"/>
      <c r="U43" s="163"/>
    </row>
    <row r="44" spans="1:21" ht="13.5">
      <c r="A44" s="97"/>
      <c r="B44" s="296"/>
      <c r="C44" s="295"/>
      <c r="D44" s="295"/>
      <c r="E44" s="295"/>
      <c r="F44" s="295"/>
      <c r="G44" s="295"/>
      <c r="H44" s="295"/>
      <c r="I44" s="295"/>
      <c r="J44" s="295"/>
      <c r="K44" s="295"/>
      <c r="L44" s="295"/>
      <c r="M44" s="295"/>
      <c r="N44" s="295"/>
      <c r="O44" s="295"/>
      <c r="P44" s="295"/>
      <c r="Q44" s="295"/>
      <c r="R44" s="295"/>
      <c r="S44" s="295"/>
      <c r="T44" s="295"/>
      <c r="U44" s="162"/>
    </row>
    <row r="45" spans="1:21" ht="13.5">
      <c r="A45" s="97"/>
      <c r="B45" s="296"/>
      <c r="C45" s="295"/>
      <c r="D45" s="295"/>
      <c r="E45" s="295"/>
      <c r="F45" s="295"/>
      <c r="G45" s="295"/>
      <c r="H45" s="295"/>
      <c r="I45" s="295"/>
      <c r="J45" s="295"/>
      <c r="K45" s="295"/>
      <c r="L45" s="295"/>
      <c r="M45" s="295"/>
      <c r="N45" s="295"/>
      <c r="O45" s="295"/>
      <c r="P45" s="295"/>
      <c r="Q45" s="295"/>
      <c r="R45" s="295"/>
      <c r="S45" s="295"/>
      <c r="T45" s="295"/>
      <c r="U45" s="162"/>
    </row>
    <row r="46" spans="1:21" ht="13.5">
      <c r="A46" s="97"/>
      <c r="B46" s="294"/>
      <c r="C46" s="295"/>
      <c r="D46" s="295"/>
      <c r="E46" s="295"/>
      <c r="F46" s="295"/>
      <c r="G46" s="295"/>
      <c r="H46" s="295"/>
      <c r="I46" s="295"/>
      <c r="J46" s="295"/>
      <c r="K46" s="295"/>
      <c r="L46" s="295"/>
      <c r="M46" s="295"/>
      <c r="N46" s="295"/>
      <c r="O46" s="295"/>
      <c r="P46" s="295"/>
      <c r="Q46" s="295"/>
      <c r="R46" s="295"/>
      <c r="S46" s="295"/>
      <c r="T46" s="295"/>
      <c r="U46" s="162"/>
    </row>
    <row r="47" spans="1:21">
      <c r="A47" s="97"/>
      <c r="B47" s="97"/>
      <c r="C47" s="109"/>
      <c r="D47" s="115"/>
      <c r="E47" s="115"/>
      <c r="F47" s="162"/>
      <c r="G47" s="115"/>
      <c r="H47" s="115"/>
      <c r="I47" s="162"/>
      <c r="J47" s="115"/>
      <c r="K47" s="115"/>
      <c r="L47" s="162"/>
      <c r="M47" s="115"/>
      <c r="N47" s="115"/>
      <c r="O47" s="162"/>
      <c r="P47" s="115"/>
      <c r="Q47" s="115"/>
      <c r="R47" s="162"/>
      <c r="S47" s="115"/>
      <c r="T47" s="115"/>
      <c r="U47" s="162"/>
    </row>
    <row r="48" spans="1:21">
      <c r="A48" s="97"/>
      <c r="B48" s="29"/>
      <c r="C48" s="29"/>
      <c r="D48" s="116"/>
      <c r="E48" s="116"/>
      <c r="F48" s="163"/>
      <c r="G48" s="116"/>
      <c r="H48" s="116"/>
      <c r="I48" s="163"/>
      <c r="J48" s="116"/>
      <c r="K48" s="116"/>
      <c r="L48" s="163"/>
      <c r="M48" s="116"/>
      <c r="N48" s="116"/>
      <c r="O48" s="163"/>
      <c r="P48" s="116"/>
      <c r="Q48" s="116"/>
      <c r="R48" s="163"/>
      <c r="S48" s="116"/>
      <c r="T48" s="116"/>
      <c r="U48" s="163"/>
    </row>
    <row r="49" spans="1:22">
      <c r="A49" s="321"/>
      <c r="B49" s="97"/>
      <c r="C49" s="321"/>
      <c r="D49" s="322"/>
      <c r="E49" s="322"/>
      <c r="F49" s="322"/>
      <c r="G49" s="322"/>
      <c r="H49" s="322"/>
      <c r="I49" s="322"/>
      <c r="J49" s="322"/>
      <c r="K49" s="322"/>
      <c r="L49" s="322"/>
      <c r="M49" s="322"/>
      <c r="N49" s="322"/>
      <c r="O49" s="322"/>
      <c r="P49" s="322"/>
      <c r="Q49" s="322"/>
      <c r="R49" s="322"/>
      <c r="S49" s="322"/>
      <c r="T49" s="322"/>
      <c r="U49" s="322"/>
    </row>
    <row r="50" spans="1:22">
      <c r="C50" s="40"/>
    </row>
    <row r="53" spans="1:22">
      <c r="C53" s="164"/>
      <c r="D53" s="165"/>
      <c r="E53" s="165"/>
      <c r="F53" s="165"/>
      <c r="G53" s="165"/>
      <c r="H53" s="165"/>
      <c r="I53" s="165"/>
      <c r="J53" s="165"/>
      <c r="K53" s="165"/>
      <c r="L53" s="165"/>
      <c r="M53" s="165"/>
      <c r="N53" s="165"/>
      <c r="O53" s="165"/>
      <c r="P53" s="165"/>
      <c r="Q53" s="165"/>
      <c r="R53" s="165"/>
      <c r="S53" s="165"/>
      <c r="T53" s="165"/>
      <c r="U53" s="165"/>
      <c r="V53" s="165"/>
    </row>
    <row r="54" spans="1:22">
      <c r="C54" s="30"/>
      <c r="D54" s="166"/>
      <c r="E54" s="166"/>
      <c r="F54" s="166"/>
      <c r="G54" s="166"/>
      <c r="H54" s="166"/>
      <c r="I54" s="166"/>
      <c r="J54" s="166"/>
      <c r="K54" s="166"/>
      <c r="L54" s="166"/>
      <c r="M54" s="166"/>
      <c r="N54" s="166"/>
      <c r="O54" s="166"/>
      <c r="P54" s="166"/>
      <c r="Q54" s="166"/>
      <c r="R54" s="166"/>
      <c r="S54" s="166"/>
      <c r="T54" s="166"/>
      <c r="U54" s="166"/>
      <c r="V54" s="166"/>
    </row>
    <row r="55" spans="1:22">
      <c r="C55" s="167"/>
      <c r="D55" s="166"/>
      <c r="E55" s="166"/>
      <c r="F55" s="166"/>
      <c r="G55" s="166"/>
      <c r="H55" s="166"/>
      <c r="I55" s="166"/>
      <c r="J55" s="166"/>
      <c r="K55" s="166"/>
      <c r="L55" s="166"/>
      <c r="M55" s="166"/>
      <c r="N55" s="166"/>
      <c r="O55" s="166"/>
      <c r="P55" s="166"/>
      <c r="Q55" s="166"/>
      <c r="R55" s="166"/>
      <c r="S55" s="166"/>
      <c r="T55" s="166"/>
      <c r="U55" s="166"/>
      <c r="V55" s="166"/>
    </row>
    <row r="56" spans="1:22">
      <c r="C56" s="167"/>
      <c r="D56" s="166"/>
      <c r="E56" s="166"/>
      <c r="F56" s="166"/>
      <c r="G56" s="166"/>
      <c r="H56" s="166"/>
      <c r="I56" s="166"/>
      <c r="J56" s="166"/>
      <c r="K56" s="166"/>
      <c r="L56" s="166"/>
      <c r="M56" s="166"/>
      <c r="N56" s="166"/>
      <c r="O56" s="166"/>
      <c r="P56" s="166"/>
      <c r="Q56" s="166"/>
      <c r="R56" s="166"/>
      <c r="S56" s="166"/>
      <c r="T56" s="166"/>
      <c r="U56" s="166"/>
      <c r="V56" s="166"/>
    </row>
    <row r="57" spans="1:22">
      <c r="C57" s="167"/>
      <c r="D57" s="166"/>
      <c r="E57" s="166"/>
      <c r="F57" s="166"/>
      <c r="G57" s="166"/>
      <c r="H57" s="166"/>
      <c r="I57" s="166"/>
      <c r="J57" s="166"/>
      <c r="K57" s="166"/>
      <c r="L57" s="166"/>
      <c r="M57" s="166"/>
      <c r="N57" s="166"/>
      <c r="O57" s="166"/>
      <c r="P57" s="166"/>
      <c r="Q57" s="166"/>
      <c r="R57" s="166"/>
      <c r="S57" s="166"/>
      <c r="T57" s="166"/>
      <c r="U57" s="166"/>
      <c r="V57" s="166"/>
    </row>
    <row r="58" spans="1:22">
      <c r="C58" s="167"/>
      <c r="D58" s="166"/>
      <c r="E58" s="166"/>
      <c r="F58" s="166"/>
      <c r="G58" s="166"/>
      <c r="H58" s="166"/>
      <c r="I58" s="166"/>
      <c r="J58" s="166"/>
      <c r="K58" s="166"/>
      <c r="L58" s="166"/>
      <c r="M58" s="166"/>
      <c r="N58" s="166"/>
      <c r="O58" s="166"/>
      <c r="P58" s="166"/>
      <c r="Q58" s="166"/>
      <c r="R58" s="166"/>
      <c r="S58" s="166"/>
      <c r="T58" s="166"/>
      <c r="U58" s="166"/>
      <c r="V58" s="166"/>
    </row>
    <row r="59" spans="1:22">
      <c r="C59" s="164"/>
      <c r="D59" s="165"/>
      <c r="E59" s="165"/>
      <c r="F59" s="165"/>
      <c r="G59" s="165"/>
      <c r="H59" s="165"/>
      <c r="I59" s="165"/>
      <c r="J59" s="165"/>
      <c r="K59" s="165"/>
      <c r="L59" s="165"/>
      <c r="M59" s="165"/>
      <c r="N59" s="165"/>
      <c r="O59" s="165"/>
      <c r="P59" s="165"/>
      <c r="Q59" s="165"/>
      <c r="R59" s="165"/>
      <c r="S59" s="165"/>
      <c r="T59" s="165"/>
      <c r="U59" s="165"/>
      <c r="V59" s="165"/>
    </row>
    <row r="60" spans="1:22">
      <c r="C60" s="167"/>
      <c r="D60" s="166"/>
      <c r="E60" s="166"/>
      <c r="F60" s="166"/>
      <c r="G60" s="166"/>
      <c r="H60" s="166"/>
      <c r="I60" s="166"/>
      <c r="J60" s="166"/>
      <c r="K60" s="166"/>
      <c r="L60" s="166"/>
      <c r="M60" s="166"/>
      <c r="N60" s="166"/>
      <c r="O60" s="166"/>
      <c r="P60" s="166"/>
      <c r="Q60" s="166"/>
      <c r="R60" s="166"/>
      <c r="S60" s="166"/>
      <c r="T60" s="166"/>
      <c r="U60" s="166"/>
      <c r="V60" s="166"/>
    </row>
    <row r="61" spans="1:22">
      <c r="C61" s="167"/>
      <c r="D61" s="166"/>
      <c r="E61" s="166"/>
      <c r="F61" s="166"/>
      <c r="G61" s="166"/>
      <c r="H61" s="166"/>
      <c r="I61" s="166"/>
      <c r="J61" s="166"/>
      <c r="K61" s="166"/>
      <c r="L61" s="166"/>
      <c r="M61" s="166"/>
      <c r="N61" s="166"/>
      <c r="O61" s="166"/>
      <c r="P61" s="166"/>
      <c r="Q61" s="166"/>
      <c r="R61" s="166"/>
      <c r="S61" s="166"/>
      <c r="T61" s="166"/>
      <c r="U61" s="166"/>
      <c r="V61" s="166"/>
    </row>
    <row r="62" spans="1:22">
      <c r="C62" s="167"/>
      <c r="D62" s="166"/>
      <c r="E62" s="166"/>
      <c r="F62" s="166"/>
      <c r="G62" s="166"/>
      <c r="H62" s="166"/>
      <c r="I62" s="166"/>
      <c r="J62" s="166"/>
      <c r="K62" s="166"/>
      <c r="L62" s="166"/>
      <c r="M62" s="166"/>
      <c r="N62" s="166"/>
      <c r="O62" s="166"/>
      <c r="P62" s="166"/>
      <c r="Q62" s="166"/>
      <c r="R62" s="166"/>
      <c r="S62" s="166"/>
      <c r="T62" s="166"/>
      <c r="U62" s="166"/>
      <c r="V62" s="166"/>
    </row>
    <row r="63" spans="1:22">
      <c r="C63" s="167"/>
      <c r="D63" s="166"/>
      <c r="E63" s="166"/>
      <c r="F63" s="166"/>
      <c r="G63" s="166"/>
      <c r="H63" s="166"/>
      <c r="I63" s="166"/>
      <c r="J63" s="166"/>
      <c r="K63" s="166"/>
      <c r="L63" s="166"/>
      <c r="M63" s="166"/>
      <c r="N63" s="166"/>
      <c r="O63" s="166"/>
      <c r="P63" s="166"/>
      <c r="Q63" s="166"/>
      <c r="R63" s="166"/>
      <c r="S63" s="166"/>
      <c r="T63" s="166"/>
      <c r="U63" s="166"/>
      <c r="V63" s="166"/>
    </row>
    <row r="64" spans="1:22">
      <c r="C64" s="164"/>
      <c r="D64" s="165"/>
      <c r="E64" s="165"/>
      <c r="F64" s="165"/>
      <c r="G64" s="165"/>
      <c r="H64" s="165"/>
      <c r="I64" s="165"/>
      <c r="J64" s="165"/>
      <c r="K64" s="165"/>
      <c r="L64" s="165"/>
      <c r="M64" s="165"/>
      <c r="N64" s="165"/>
      <c r="O64" s="165"/>
      <c r="P64" s="165"/>
      <c r="Q64" s="165"/>
      <c r="R64" s="165"/>
      <c r="S64" s="165"/>
      <c r="T64" s="165"/>
      <c r="U64" s="165"/>
      <c r="V64" s="165"/>
    </row>
  </sheetData>
  <mergeCells count="2">
    <mergeCell ref="A3:U3"/>
    <mergeCell ref="A8:C9"/>
  </mergeCells>
  <hyperlinks>
    <hyperlink ref="C1" location="Indice!A1" display="Cuadro 4.1 Estructura porcentual del gasto ambiental de la Administración central"/>
  </hyperlinks>
  <pageMargins left="0.7" right="0.7" top="0.75" bottom="0.75" header="0.3" footer="0.3"/>
  <pageSetup scale="55" orientation="portrait" r:id="rId1"/>
</worksheet>
</file>

<file path=xl/worksheets/sheet25.xml><?xml version="1.0" encoding="utf-8"?>
<worksheet xmlns="http://schemas.openxmlformats.org/spreadsheetml/2006/main" xmlns:r="http://schemas.openxmlformats.org/officeDocument/2006/relationships">
  <sheetPr>
    <tabColor theme="3" tint="0.39997558519241921"/>
    <pageSetUpPr fitToPage="1"/>
  </sheetPr>
  <dimension ref="A1:U28"/>
  <sheetViews>
    <sheetView showGridLines="0" topLeftCell="A2" workbookViewId="0">
      <selection activeCell="A2" sqref="A2:I2"/>
    </sheetView>
  </sheetViews>
  <sheetFormatPr baseColWidth="10" defaultRowHeight="12.75"/>
  <cols>
    <col min="1" max="1" width="0.83203125" customWidth="1"/>
    <col min="2" max="2" width="1.1640625" customWidth="1"/>
    <col min="3" max="3" width="53" customWidth="1"/>
  </cols>
  <sheetData>
    <row r="1" spans="1:21" hidden="1">
      <c r="A1" s="44"/>
      <c r="B1" s="44"/>
      <c r="C1" s="7" t="s">
        <v>312</v>
      </c>
      <c r="D1" s="44"/>
      <c r="E1" s="44"/>
      <c r="F1" s="44"/>
      <c r="G1" s="44"/>
      <c r="H1" s="44"/>
      <c r="I1" s="44"/>
      <c r="J1" s="44"/>
      <c r="K1" s="44"/>
      <c r="L1" s="44"/>
      <c r="M1" s="44"/>
      <c r="N1" s="44"/>
      <c r="O1" s="44"/>
      <c r="P1" s="44"/>
      <c r="Q1" s="44"/>
      <c r="R1" s="44"/>
      <c r="S1" s="44"/>
      <c r="T1" s="44"/>
      <c r="U1" s="44"/>
    </row>
    <row r="2" spans="1:21">
      <c r="A2" s="537" t="s">
        <v>189</v>
      </c>
      <c r="B2" s="537"/>
      <c r="C2" s="537"/>
      <c r="D2" s="537"/>
      <c r="E2" s="537"/>
      <c r="F2" s="537"/>
      <c r="G2" s="537"/>
      <c r="H2" s="537"/>
      <c r="I2" s="537"/>
      <c r="K2" s="19"/>
      <c r="L2" s="19"/>
      <c r="M2" s="19"/>
      <c r="N2" s="19"/>
      <c r="O2" s="19"/>
      <c r="P2" s="19"/>
      <c r="Q2" s="19"/>
      <c r="R2" s="19"/>
      <c r="S2" s="19"/>
      <c r="T2" s="19"/>
      <c r="U2" s="19"/>
    </row>
    <row r="3" spans="1:21" ht="26.25" customHeight="1">
      <c r="A3" s="545" t="s">
        <v>251</v>
      </c>
      <c r="B3" s="545"/>
      <c r="C3" s="545"/>
      <c r="D3" s="545"/>
      <c r="E3" s="545"/>
      <c r="F3" s="545"/>
      <c r="G3" s="545"/>
      <c r="H3" s="545"/>
      <c r="I3" s="545"/>
      <c r="J3" s="18"/>
      <c r="K3" s="18"/>
      <c r="L3" s="18"/>
      <c r="M3" s="18"/>
      <c r="N3" s="18"/>
      <c r="O3" s="18"/>
      <c r="P3" s="18"/>
      <c r="Q3" s="18"/>
      <c r="R3" s="18"/>
      <c r="S3" s="18"/>
      <c r="T3" s="18"/>
      <c r="U3" s="18"/>
    </row>
    <row r="4" spans="1:21">
      <c r="A4" s="552" t="s">
        <v>245</v>
      </c>
      <c r="B4" s="552"/>
      <c r="C4" s="552"/>
      <c r="D4" s="552"/>
      <c r="E4" s="552"/>
      <c r="F4" s="552"/>
      <c r="G4" s="552"/>
      <c r="H4" s="552"/>
      <c r="I4" s="552"/>
      <c r="J4" s="18"/>
      <c r="K4" s="18"/>
      <c r="L4" s="18"/>
      <c r="M4" s="18"/>
      <c r="N4" s="18"/>
      <c r="O4" s="18"/>
      <c r="P4" s="18"/>
      <c r="Q4" s="18"/>
      <c r="R4" s="18"/>
      <c r="S4" s="18"/>
      <c r="T4" s="18"/>
      <c r="U4" s="18"/>
    </row>
    <row r="5" spans="1:21">
      <c r="A5" s="552" t="s">
        <v>246</v>
      </c>
      <c r="B5" s="552"/>
      <c r="C5" s="552"/>
      <c r="D5" s="552"/>
      <c r="E5" s="552"/>
      <c r="F5" s="552"/>
      <c r="G5" s="552"/>
      <c r="H5" s="552"/>
      <c r="I5" s="552"/>
      <c r="K5" s="18"/>
      <c r="L5" s="18"/>
      <c r="M5" s="18"/>
      <c r="N5" s="18"/>
      <c r="O5" s="18"/>
      <c r="P5" s="18"/>
      <c r="Q5" s="18"/>
      <c r="R5" s="18"/>
      <c r="S5" s="18"/>
      <c r="T5" s="18"/>
      <c r="U5" s="18"/>
    </row>
    <row r="6" spans="1:21" s="529" customFormat="1">
      <c r="A6" s="553" t="s">
        <v>28</v>
      </c>
      <c r="B6" s="553"/>
      <c r="C6" s="553"/>
      <c r="D6" s="553"/>
      <c r="E6" s="553"/>
      <c r="F6" s="553"/>
      <c r="G6" s="553"/>
      <c r="H6" s="553"/>
      <c r="I6" s="553"/>
      <c r="K6" s="18"/>
      <c r="L6" s="18"/>
      <c r="M6" s="18"/>
      <c r="N6" s="18"/>
      <c r="O6" s="18"/>
      <c r="P6" s="18"/>
      <c r="Q6" s="18"/>
      <c r="R6" s="18"/>
      <c r="S6" s="18"/>
      <c r="T6" s="18"/>
      <c r="U6" s="18"/>
    </row>
    <row r="7" spans="1:21">
      <c r="J7" s="18"/>
      <c r="K7" s="18"/>
      <c r="L7" s="18"/>
      <c r="M7" s="18"/>
      <c r="N7" s="18"/>
      <c r="O7" s="18"/>
      <c r="P7" s="18"/>
      <c r="Q7" s="18"/>
      <c r="R7" s="18"/>
      <c r="S7" s="18"/>
      <c r="T7" s="18"/>
      <c r="U7" s="18"/>
    </row>
    <row r="8" spans="1:21">
      <c r="A8" s="625" t="s">
        <v>250</v>
      </c>
      <c r="B8" s="717"/>
      <c r="C8" s="717"/>
      <c r="D8" s="711"/>
      <c r="E8" s="711"/>
      <c r="F8" s="711"/>
      <c r="G8" s="712" t="s">
        <v>34</v>
      </c>
      <c r="H8" s="711"/>
      <c r="I8" s="711"/>
      <c r="L8" s="188"/>
      <c r="M8" s="283"/>
      <c r="N8" s="188"/>
      <c r="O8" s="188"/>
      <c r="P8" s="283"/>
      <c r="Q8" s="188"/>
      <c r="R8" s="188"/>
    </row>
    <row r="9" spans="1:21">
      <c r="A9" s="709"/>
      <c r="B9" s="709"/>
      <c r="C9" s="709"/>
      <c r="D9" s="698">
        <v>2001</v>
      </c>
      <c r="E9" s="698">
        <v>2002</v>
      </c>
      <c r="F9" s="698">
        <v>2003</v>
      </c>
      <c r="G9" s="698">
        <v>2004</v>
      </c>
      <c r="H9" s="698">
        <v>2005</v>
      </c>
      <c r="I9" s="698">
        <v>2006</v>
      </c>
      <c r="L9" s="158"/>
      <c r="M9" s="283"/>
      <c r="N9" s="158"/>
      <c r="O9" s="158"/>
      <c r="P9" s="283"/>
      <c r="Q9" s="158"/>
      <c r="R9" s="158"/>
    </row>
    <row r="10" spans="1:21">
      <c r="A10" s="79" t="s">
        <v>211</v>
      </c>
      <c r="B10" s="44"/>
      <c r="C10" s="79"/>
      <c r="D10" s="161"/>
      <c r="E10" s="161"/>
      <c r="F10" s="161"/>
      <c r="G10" s="161"/>
      <c r="H10" s="161"/>
      <c r="I10" s="161"/>
      <c r="L10" s="333"/>
      <c r="M10" s="283"/>
      <c r="N10" s="333"/>
      <c r="O10" s="333"/>
      <c r="P10" s="283"/>
      <c r="Q10" s="333"/>
      <c r="R10" s="333"/>
    </row>
    <row r="11" spans="1:21">
      <c r="A11" s="44"/>
      <c r="B11" s="44"/>
      <c r="C11" s="93" t="s">
        <v>594</v>
      </c>
      <c r="D11" s="334">
        <v>0.46272647944728396</v>
      </c>
      <c r="E11" s="334">
        <v>0.78330855788614395</v>
      </c>
      <c r="F11" s="334">
        <v>0</v>
      </c>
      <c r="G11" s="334">
        <v>0.45394223216481999</v>
      </c>
      <c r="H11" s="334">
        <v>2.18688694906648</v>
      </c>
      <c r="I11" s="334">
        <v>1.0827903210687899</v>
      </c>
      <c r="L11" s="333"/>
      <c r="M11" s="283"/>
      <c r="N11" s="333"/>
      <c r="O11" s="333"/>
      <c r="P11" s="283"/>
      <c r="Q11" s="333"/>
      <c r="R11" s="333"/>
    </row>
    <row r="12" spans="1:21">
      <c r="A12" s="44"/>
      <c r="B12" s="44"/>
      <c r="C12" s="93" t="s">
        <v>20</v>
      </c>
      <c r="D12" s="334">
        <v>1.4925364364698299</v>
      </c>
      <c r="E12" s="334">
        <v>1.2401004340830299</v>
      </c>
      <c r="F12" s="334">
        <v>1.9118893630940201</v>
      </c>
      <c r="G12" s="334">
        <v>3.1762131752752505E-2</v>
      </c>
      <c r="H12" s="334">
        <v>0.88963304259835796</v>
      </c>
      <c r="I12" s="334">
        <v>0.37179071048899498</v>
      </c>
      <c r="L12" s="333"/>
      <c r="M12" s="283"/>
      <c r="N12" s="333"/>
      <c r="O12" s="333"/>
      <c r="P12" s="283"/>
      <c r="Q12" s="333"/>
      <c r="R12" s="333"/>
    </row>
    <row r="13" spans="1:21" ht="25.5">
      <c r="A13" s="44"/>
      <c r="B13" s="44"/>
      <c r="C13" s="137" t="s">
        <v>8</v>
      </c>
      <c r="D13" s="334">
        <v>0</v>
      </c>
      <c r="E13" s="334">
        <v>0.30091877216789004</v>
      </c>
      <c r="F13" s="334">
        <v>0</v>
      </c>
      <c r="G13" s="334">
        <v>0</v>
      </c>
      <c r="H13" s="334">
        <v>0</v>
      </c>
      <c r="I13" s="334">
        <v>0</v>
      </c>
      <c r="L13" s="333"/>
      <c r="M13" s="283"/>
      <c r="N13" s="333"/>
      <c r="O13" s="333"/>
      <c r="P13" s="283"/>
      <c r="Q13" s="333"/>
      <c r="R13" s="333"/>
    </row>
    <row r="14" spans="1:21">
      <c r="A14" s="44"/>
      <c r="B14" s="44"/>
      <c r="C14" s="93" t="s">
        <v>21</v>
      </c>
      <c r="D14" s="334">
        <v>24.6823337058856</v>
      </c>
      <c r="E14" s="334">
        <v>27.7818035214706</v>
      </c>
      <c r="F14" s="334">
        <v>29.028561620289</v>
      </c>
      <c r="G14" s="334">
        <v>30.384755914113796</v>
      </c>
      <c r="H14" s="334">
        <v>26.1829201770597</v>
      </c>
      <c r="I14" s="334">
        <v>34.286368234004698</v>
      </c>
      <c r="L14" s="333"/>
      <c r="M14" s="283"/>
      <c r="N14" s="333"/>
      <c r="O14" s="333"/>
      <c r="P14" s="283"/>
      <c r="Q14" s="333"/>
      <c r="R14" s="333"/>
    </row>
    <row r="15" spans="1:21">
      <c r="A15" s="44"/>
      <c r="B15" s="44"/>
      <c r="C15" s="76" t="s">
        <v>10</v>
      </c>
      <c r="D15" s="334">
        <v>1.3887929974175799</v>
      </c>
      <c r="E15" s="334">
        <v>1.29211715656787</v>
      </c>
      <c r="F15" s="334">
        <v>1.86703384546886</v>
      </c>
      <c r="G15" s="334">
        <v>1.6926585532399501</v>
      </c>
      <c r="H15" s="334">
        <v>1.3796771173761702</v>
      </c>
      <c r="I15" s="334">
        <v>2.0540736513777897</v>
      </c>
      <c r="L15" s="333"/>
      <c r="M15" s="283"/>
      <c r="N15" s="333"/>
      <c r="O15" s="333"/>
      <c r="P15" s="283"/>
      <c r="Q15" s="333"/>
      <c r="R15" s="333"/>
    </row>
    <row r="16" spans="1:21">
      <c r="A16" s="44"/>
      <c r="B16" s="44"/>
      <c r="C16" s="93" t="s">
        <v>22</v>
      </c>
      <c r="D16" s="334">
        <v>14.5429753200915</v>
      </c>
      <c r="E16" s="334">
        <v>9.7563393046608304</v>
      </c>
      <c r="F16" s="334">
        <v>9.5950187150718307</v>
      </c>
      <c r="G16" s="334">
        <v>12.987373858202901</v>
      </c>
      <c r="H16" s="334">
        <v>16.544158798687501</v>
      </c>
      <c r="I16" s="334">
        <v>13.730109235141299</v>
      </c>
      <c r="L16" s="336"/>
      <c r="M16" s="283"/>
      <c r="N16" s="336"/>
      <c r="O16" s="336"/>
      <c r="P16" s="283"/>
      <c r="Q16" s="336"/>
      <c r="R16" s="336"/>
    </row>
    <row r="17" spans="1:21" s="703" customFormat="1">
      <c r="A17" s="638"/>
      <c r="B17" s="713" t="s">
        <v>556</v>
      </c>
      <c r="C17" s="713"/>
      <c r="D17" s="714">
        <v>42.569364939311797</v>
      </c>
      <c r="E17" s="714">
        <v>41.154587746836398</v>
      </c>
      <c r="F17" s="714">
        <v>42.4025035439237</v>
      </c>
      <c r="G17" s="714">
        <v>45.550492689474197</v>
      </c>
      <c r="H17" s="714">
        <v>47.183276084788197</v>
      </c>
      <c r="I17" s="714">
        <v>51.525132152081497</v>
      </c>
      <c r="L17" s="715"/>
      <c r="M17" s="707"/>
      <c r="N17" s="715"/>
      <c r="O17" s="715"/>
      <c r="P17" s="707"/>
      <c r="Q17" s="715"/>
      <c r="R17" s="715"/>
    </row>
    <row r="18" spans="1:21">
      <c r="A18" s="44"/>
      <c r="B18" s="44"/>
      <c r="C18" s="331" t="s">
        <v>212</v>
      </c>
      <c r="D18" s="337"/>
      <c r="E18" s="337"/>
      <c r="F18" s="337"/>
      <c r="G18" s="337"/>
      <c r="H18" s="337"/>
      <c r="I18" s="337"/>
      <c r="L18" s="333"/>
      <c r="M18" s="283"/>
      <c r="N18" s="333"/>
      <c r="O18" s="333"/>
      <c r="P18" s="283"/>
      <c r="Q18" s="333"/>
      <c r="R18" s="333"/>
    </row>
    <row r="19" spans="1:21">
      <c r="A19" s="44"/>
      <c r="B19" s="44"/>
      <c r="C19" s="76" t="s">
        <v>12</v>
      </c>
      <c r="D19" s="334">
        <v>2.76262174521018</v>
      </c>
      <c r="E19" s="334">
        <v>2.4884444841278501</v>
      </c>
      <c r="F19" s="334">
        <v>2.7704323940108502</v>
      </c>
      <c r="G19" s="334">
        <v>0.82975822752361594</v>
      </c>
      <c r="H19" s="334">
        <v>0.54977248753949703</v>
      </c>
      <c r="I19" s="334">
        <v>0.35773059831729997</v>
      </c>
      <c r="L19" s="333"/>
      <c r="M19" s="283"/>
      <c r="N19" s="333"/>
      <c r="O19" s="333"/>
      <c r="P19" s="283"/>
      <c r="Q19" s="333"/>
      <c r="R19" s="333"/>
    </row>
    <row r="20" spans="1:21">
      <c r="A20" s="44"/>
      <c r="B20" s="44"/>
      <c r="C20" s="76" t="s">
        <v>13</v>
      </c>
      <c r="D20" s="334">
        <v>44.2904705837243</v>
      </c>
      <c r="E20" s="334">
        <v>31.052220258539897</v>
      </c>
      <c r="F20" s="334">
        <v>22.642009191915399</v>
      </c>
      <c r="G20" s="334">
        <v>15.472834368763399</v>
      </c>
      <c r="H20" s="334">
        <v>22.712054731442699</v>
      </c>
      <c r="I20" s="334">
        <v>11.3450757722884</v>
      </c>
      <c r="L20" s="333"/>
      <c r="M20" s="283"/>
      <c r="N20" s="333"/>
      <c r="O20" s="333"/>
      <c r="P20" s="283"/>
      <c r="Q20" s="333"/>
      <c r="R20" s="333"/>
    </row>
    <row r="21" spans="1:21">
      <c r="A21" s="44"/>
      <c r="B21" s="44"/>
      <c r="C21" s="76" t="s">
        <v>14</v>
      </c>
      <c r="D21" s="334">
        <v>9.2374460585392288</v>
      </c>
      <c r="E21" s="334">
        <v>25.304747510495901</v>
      </c>
      <c r="F21" s="334">
        <v>30.921519162399203</v>
      </c>
      <c r="G21" s="334">
        <v>37.461817537809402</v>
      </c>
      <c r="H21" s="334">
        <v>29.060204969587101</v>
      </c>
      <c r="I21" s="334">
        <v>35.9642609520116</v>
      </c>
      <c r="L21" s="333"/>
      <c r="M21" s="283"/>
      <c r="N21" s="333"/>
      <c r="O21" s="333"/>
      <c r="P21" s="283"/>
      <c r="Q21" s="333"/>
      <c r="R21" s="333"/>
    </row>
    <row r="22" spans="1:21">
      <c r="A22" s="44"/>
      <c r="B22" s="44"/>
      <c r="C22" s="109" t="s">
        <v>15</v>
      </c>
      <c r="D22" s="334">
        <v>1.1400966732145201</v>
      </c>
      <c r="E22" s="334">
        <v>0</v>
      </c>
      <c r="F22" s="334">
        <v>1.26353570775082</v>
      </c>
      <c r="G22" s="334">
        <v>0.68509717642941403</v>
      </c>
      <c r="H22" s="334">
        <v>0.49469172664251498</v>
      </c>
      <c r="I22" s="334">
        <v>0.80780052530113589</v>
      </c>
      <c r="L22" s="336"/>
      <c r="M22" s="283"/>
      <c r="N22" s="336"/>
      <c r="O22" s="336"/>
      <c r="P22" s="283"/>
      <c r="Q22" s="336"/>
      <c r="R22" s="336"/>
    </row>
    <row r="23" spans="1:21" s="703" customFormat="1">
      <c r="A23" s="638"/>
      <c r="B23" s="713" t="s">
        <v>557</v>
      </c>
      <c r="C23" s="713"/>
      <c r="D23" s="714">
        <v>57.430635060688196</v>
      </c>
      <c r="E23" s="714">
        <v>0.58845412253163598</v>
      </c>
      <c r="F23" s="714">
        <v>57.5974964560763</v>
      </c>
      <c r="G23" s="714">
        <v>54.449507310525803</v>
      </c>
      <c r="H23" s="714">
        <v>52.816723915211803</v>
      </c>
      <c r="I23" s="714">
        <v>48.474867847918404</v>
      </c>
      <c r="L23" s="716"/>
      <c r="M23" s="707"/>
      <c r="N23" s="716"/>
      <c r="O23" s="716"/>
      <c r="P23" s="707"/>
      <c r="Q23" s="716"/>
      <c r="R23" s="716"/>
    </row>
    <row r="24" spans="1:21">
      <c r="A24" s="119" t="s">
        <v>558</v>
      </c>
      <c r="B24" s="99"/>
      <c r="C24" s="119"/>
      <c r="D24" s="339">
        <v>100</v>
      </c>
      <c r="E24" s="339">
        <v>100</v>
      </c>
      <c r="F24" s="339">
        <v>100</v>
      </c>
      <c r="G24" s="339">
        <v>100</v>
      </c>
      <c r="H24" s="339">
        <v>100</v>
      </c>
      <c r="I24" s="339">
        <v>100</v>
      </c>
      <c r="J24" s="44"/>
      <c r="K24" s="44"/>
      <c r="L24" s="44"/>
      <c r="M24" s="44"/>
      <c r="N24" s="44"/>
      <c r="O24" s="44"/>
      <c r="P24" s="44"/>
      <c r="Q24" s="44"/>
      <c r="R24" s="44"/>
      <c r="S24" s="44"/>
      <c r="T24" s="44"/>
      <c r="U24" s="44"/>
    </row>
    <row r="25" spans="1:21">
      <c r="A25" s="270" t="s">
        <v>240</v>
      </c>
      <c r="B25" s="44"/>
      <c r="C25" s="330"/>
      <c r="D25" s="44"/>
      <c r="E25" s="44"/>
      <c r="F25" s="44"/>
      <c r="G25" s="44"/>
      <c r="H25" s="44"/>
      <c r="I25" s="44"/>
      <c r="J25" s="330"/>
      <c r="K25" s="330"/>
      <c r="L25" s="330"/>
      <c r="M25" s="330"/>
      <c r="N25" s="330"/>
      <c r="O25" s="330"/>
      <c r="P25" s="330"/>
      <c r="Q25" s="330"/>
      <c r="R25" s="330"/>
      <c r="S25" s="330"/>
      <c r="T25" s="330"/>
      <c r="U25" s="330"/>
    </row>
    <row r="26" spans="1:21">
      <c r="A26" s="270" t="s">
        <v>214</v>
      </c>
      <c r="B26" s="330"/>
      <c r="C26" s="330"/>
      <c r="D26" s="330"/>
      <c r="E26" s="330"/>
      <c r="F26" s="330"/>
      <c r="G26" s="330"/>
      <c r="H26" s="330"/>
      <c r="I26" s="330"/>
      <c r="J26" s="330"/>
      <c r="K26" s="330"/>
      <c r="L26" s="330"/>
      <c r="M26" s="330"/>
      <c r="N26" s="330"/>
      <c r="O26" s="330"/>
      <c r="P26" s="330"/>
      <c r="Q26" s="330"/>
      <c r="R26" s="330"/>
      <c r="S26" s="330"/>
      <c r="T26" s="330"/>
      <c r="U26" s="330"/>
    </row>
    <row r="27" spans="1:21">
      <c r="B27" s="330"/>
      <c r="C27" s="330"/>
      <c r="D27" s="330"/>
      <c r="E27" s="330"/>
      <c r="F27" s="330"/>
      <c r="G27" s="330"/>
      <c r="H27" s="330"/>
      <c r="I27" s="330"/>
    </row>
    <row r="28" spans="1:21">
      <c r="A28" s="40" t="s">
        <v>170</v>
      </c>
    </row>
  </sheetData>
  <mergeCells count="6">
    <mergeCell ref="A8:C9"/>
    <mergeCell ref="A2:I2"/>
    <mergeCell ref="A3:I3"/>
    <mergeCell ref="A5:I5"/>
    <mergeCell ref="A4:I4"/>
    <mergeCell ref="A6:I6"/>
  </mergeCells>
  <hyperlinks>
    <hyperlink ref="C1" location="Indice!A1" display="Cuadro 4.1 Estructura porcentual del gasto ambiental de la Administración central"/>
  </hyperlinks>
  <pageMargins left="0.7" right="0.7" top="0.75" bottom="0.75" header="0.3" footer="0.3"/>
  <pageSetup scale="88" orientation="portrait" r:id="rId1"/>
</worksheet>
</file>

<file path=xl/worksheets/sheet26.xml><?xml version="1.0" encoding="utf-8"?>
<worksheet xmlns="http://schemas.openxmlformats.org/spreadsheetml/2006/main" xmlns:r="http://schemas.openxmlformats.org/officeDocument/2006/relationships">
  <sheetPr>
    <tabColor theme="3" tint="0.39997558519241921"/>
    <pageSetUpPr fitToPage="1"/>
  </sheetPr>
  <dimension ref="A1:U34"/>
  <sheetViews>
    <sheetView showGridLines="0" topLeftCell="A2" workbookViewId="0">
      <selection activeCell="A2" sqref="A2"/>
    </sheetView>
  </sheetViews>
  <sheetFormatPr baseColWidth="10" defaultRowHeight="12.75"/>
  <cols>
    <col min="1" max="2" width="1.5" customWidth="1"/>
    <col min="3" max="3" width="51.83203125" customWidth="1"/>
    <col min="4" max="4" width="8.6640625" customWidth="1"/>
    <col min="5" max="5" width="7.6640625" customWidth="1"/>
    <col min="6" max="6" width="7.83203125" customWidth="1"/>
    <col min="7" max="7" width="8.5" customWidth="1"/>
    <col min="8" max="9" width="8.1640625" customWidth="1"/>
    <col min="10" max="10" width="8.5" customWidth="1"/>
    <col min="11" max="12" width="7.6640625" customWidth="1"/>
    <col min="13" max="13" width="8.6640625" customWidth="1"/>
    <col min="14" max="15" width="7.6640625" customWidth="1"/>
    <col min="16" max="16" width="9" customWidth="1"/>
    <col min="17" max="17" width="8.1640625" customWidth="1"/>
    <col min="18" max="18" width="7.83203125" customWidth="1"/>
    <col min="19" max="19" width="9" customWidth="1"/>
    <col min="20" max="20" width="8.33203125" customWidth="1"/>
    <col min="21" max="21" width="8.1640625" customWidth="1"/>
  </cols>
  <sheetData>
    <row r="1" spans="1:21" hidden="1">
      <c r="A1" s="44"/>
      <c r="B1" s="44"/>
      <c r="C1" s="7" t="s">
        <v>313</v>
      </c>
      <c r="D1" s="44"/>
      <c r="E1" s="44"/>
      <c r="F1" s="44"/>
      <c r="G1" s="44"/>
      <c r="H1" s="44"/>
      <c r="I1" s="44"/>
      <c r="J1" s="44"/>
      <c r="K1" s="44"/>
      <c r="L1" s="44"/>
      <c r="M1" s="44"/>
      <c r="N1" s="44"/>
      <c r="O1" s="44"/>
      <c r="P1" s="44"/>
      <c r="Q1" s="44"/>
      <c r="R1" s="44"/>
      <c r="S1" s="44"/>
      <c r="T1" s="44"/>
      <c r="U1" s="44"/>
    </row>
    <row r="2" spans="1:21">
      <c r="A2" s="19" t="s">
        <v>190</v>
      </c>
      <c r="B2" s="19"/>
      <c r="C2" s="150"/>
      <c r="D2" s="19"/>
      <c r="E2" s="19"/>
      <c r="F2" s="19"/>
      <c r="G2" s="19"/>
      <c r="H2" s="19"/>
      <c r="I2" s="19"/>
      <c r="J2" s="19"/>
      <c r="K2" s="19"/>
      <c r="L2" s="19"/>
      <c r="M2" s="19"/>
      <c r="N2" s="19"/>
      <c r="O2" s="19"/>
      <c r="P2" s="19"/>
      <c r="Q2" s="19"/>
      <c r="R2" s="19"/>
      <c r="S2" s="19"/>
      <c r="T2" s="19"/>
      <c r="U2" s="19"/>
    </row>
    <row r="3" spans="1:21">
      <c r="A3" s="19" t="s">
        <v>248</v>
      </c>
      <c r="B3" s="18"/>
      <c r="C3" s="150"/>
      <c r="D3" s="18"/>
      <c r="E3" s="18"/>
      <c r="F3" s="18"/>
      <c r="G3" s="18"/>
      <c r="H3" s="18"/>
      <c r="I3" s="18"/>
      <c r="J3" s="18"/>
      <c r="K3" s="18"/>
      <c r="L3" s="18"/>
      <c r="M3" s="18"/>
      <c r="N3" s="18"/>
      <c r="O3" s="18"/>
      <c r="P3" s="18"/>
      <c r="Q3" s="18"/>
      <c r="R3" s="18"/>
      <c r="S3" s="18"/>
      <c r="T3" s="18"/>
      <c r="U3" s="18"/>
    </row>
    <row r="4" spans="1:21">
      <c r="A4" s="18"/>
      <c r="B4" s="18"/>
      <c r="C4" s="113" t="s">
        <v>245</v>
      </c>
      <c r="D4" s="18"/>
      <c r="E4" s="18"/>
      <c r="F4" s="18"/>
      <c r="G4" s="18"/>
      <c r="H4" s="18"/>
      <c r="I4" s="18"/>
      <c r="J4" s="18"/>
      <c r="K4" s="18"/>
      <c r="L4" s="18"/>
      <c r="M4" s="18"/>
      <c r="N4" s="18"/>
      <c r="O4" s="18"/>
      <c r="P4" s="18"/>
      <c r="Q4" s="18"/>
      <c r="R4" s="18"/>
      <c r="S4" s="18"/>
      <c r="T4" s="18"/>
      <c r="U4" s="18"/>
    </row>
    <row r="5" spans="1:21">
      <c r="A5" s="90"/>
      <c r="B5" s="18"/>
      <c r="C5" s="113" t="s">
        <v>246</v>
      </c>
      <c r="D5" s="18"/>
      <c r="E5" s="18"/>
      <c r="F5" s="18"/>
      <c r="G5" s="18"/>
      <c r="H5" s="18"/>
      <c r="I5" s="18"/>
      <c r="J5" s="18"/>
      <c r="K5" s="18"/>
      <c r="L5" s="18"/>
      <c r="M5" s="18"/>
      <c r="N5" s="18"/>
      <c r="O5" s="18"/>
      <c r="P5" s="18"/>
      <c r="Q5" s="18"/>
      <c r="R5" s="18"/>
      <c r="S5" s="18"/>
      <c r="T5" s="18"/>
      <c r="U5" s="18"/>
    </row>
    <row r="6" spans="1:21" s="529" customFormat="1">
      <c r="A6" s="90"/>
      <c r="B6" s="18"/>
      <c r="C6" s="18" t="s">
        <v>28</v>
      </c>
      <c r="D6" s="18"/>
      <c r="E6" s="18"/>
      <c r="F6" s="18"/>
      <c r="G6" s="18"/>
      <c r="H6" s="18"/>
      <c r="I6" s="18"/>
      <c r="J6" s="18"/>
      <c r="K6" s="18"/>
      <c r="L6" s="18"/>
      <c r="M6" s="18"/>
      <c r="N6" s="18"/>
      <c r="O6" s="18"/>
      <c r="P6" s="18"/>
      <c r="Q6" s="18"/>
      <c r="R6" s="18"/>
      <c r="S6" s="18"/>
      <c r="T6" s="18"/>
      <c r="U6" s="18"/>
    </row>
    <row r="7" spans="1:21">
      <c r="A7" s="18"/>
      <c r="B7" s="18"/>
      <c r="D7" s="18"/>
      <c r="E7" s="18"/>
      <c r="F7" s="18"/>
      <c r="G7" s="18"/>
      <c r="H7" s="18"/>
      <c r="I7" s="18"/>
      <c r="J7" s="18"/>
      <c r="K7" s="18"/>
      <c r="L7" s="18"/>
      <c r="M7" s="18"/>
      <c r="N7" s="18"/>
      <c r="O7" s="18"/>
      <c r="P7" s="18"/>
      <c r="Q7" s="18"/>
      <c r="R7" s="18"/>
      <c r="S7" s="18"/>
      <c r="T7" s="18"/>
      <c r="U7" s="18"/>
    </row>
    <row r="8" spans="1:21">
      <c r="A8" s="600" t="s">
        <v>555</v>
      </c>
      <c r="B8" s="600"/>
      <c r="C8" s="600"/>
      <c r="D8" s="698"/>
      <c r="E8" s="698">
        <v>2001</v>
      </c>
      <c r="F8" s="720"/>
      <c r="G8" s="710"/>
      <c r="H8" s="710">
        <v>2002</v>
      </c>
      <c r="I8" s="718"/>
      <c r="J8" s="698"/>
      <c r="K8" s="698">
        <v>2003</v>
      </c>
      <c r="L8" s="720"/>
      <c r="M8" s="710"/>
      <c r="N8" s="710">
        <v>2004</v>
      </c>
      <c r="O8" s="718"/>
      <c r="P8" s="698"/>
      <c r="Q8" s="698">
        <v>2005</v>
      </c>
      <c r="R8" s="720"/>
      <c r="S8" s="710"/>
      <c r="T8" s="710">
        <v>2006</v>
      </c>
      <c r="U8" s="718"/>
    </row>
    <row r="9" spans="1:21">
      <c r="A9" s="602"/>
      <c r="B9" s="602"/>
      <c r="C9" s="602"/>
      <c r="D9" s="685" t="s">
        <v>205</v>
      </c>
      <c r="E9" s="685" t="s">
        <v>0</v>
      </c>
      <c r="F9" s="689" t="s">
        <v>6</v>
      </c>
      <c r="G9" s="691" t="s">
        <v>205</v>
      </c>
      <c r="H9" s="691" t="s">
        <v>0</v>
      </c>
      <c r="I9" s="719" t="s">
        <v>6</v>
      </c>
      <c r="J9" s="685" t="s">
        <v>205</v>
      </c>
      <c r="K9" s="685" t="s">
        <v>0</v>
      </c>
      <c r="L9" s="689" t="s">
        <v>6</v>
      </c>
      <c r="M9" s="691" t="s">
        <v>205</v>
      </c>
      <c r="N9" s="691" t="s">
        <v>0</v>
      </c>
      <c r="O9" s="719" t="s">
        <v>6</v>
      </c>
      <c r="P9" s="685" t="s">
        <v>205</v>
      </c>
      <c r="Q9" s="685" t="s">
        <v>0</v>
      </c>
      <c r="R9" s="689" t="s">
        <v>6</v>
      </c>
      <c r="S9" s="691" t="s">
        <v>205</v>
      </c>
      <c r="T9" s="691" t="s">
        <v>0</v>
      </c>
      <c r="U9" s="719" t="s">
        <v>6</v>
      </c>
    </row>
    <row r="10" spans="1:21">
      <c r="A10" s="79" t="s">
        <v>211</v>
      </c>
      <c r="B10" s="44"/>
      <c r="C10" s="79"/>
      <c r="D10" s="158"/>
      <c r="E10" s="158"/>
      <c r="F10" s="161"/>
      <c r="G10" s="158"/>
      <c r="H10" s="158"/>
      <c r="I10" s="161"/>
      <c r="J10" s="158"/>
      <c r="K10" s="158"/>
      <c r="L10" s="161"/>
      <c r="M10" s="158"/>
      <c r="N10" s="158"/>
      <c r="O10" s="161"/>
      <c r="P10" s="158"/>
      <c r="Q10" s="158"/>
      <c r="R10" s="161"/>
      <c r="S10" s="158"/>
      <c r="T10" s="158"/>
      <c r="U10" s="161"/>
    </row>
    <row r="11" spans="1:21" ht="12" customHeight="1">
      <c r="A11" s="44"/>
      <c r="B11" s="44"/>
      <c r="C11" s="93" t="s">
        <v>594</v>
      </c>
      <c r="D11" s="332">
        <v>0</v>
      </c>
      <c r="E11" s="333">
        <v>0.72709352285374595</v>
      </c>
      <c r="F11" s="334">
        <v>0.46272647944728396</v>
      </c>
      <c r="G11" s="333">
        <v>2.3357872394138597</v>
      </c>
      <c r="H11" s="333">
        <v>0</v>
      </c>
      <c r="I11" s="334">
        <v>0.78330855788614395</v>
      </c>
      <c r="J11" s="333">
        <v>0</v>
      </c>
      <c r="K11" s="333">
        <v>0</v>
      </c>
      <c r="L11" s="334">
        <v>0</v>
      </c>
      <c r="M11" s="333">
        <v>0</v>
      </c>
      <c r="N11" s="333">
        <v>0.78971633081905501</v>
      </c>
      <c r="O11" s="334">
        <v>0.45394223216481999</v>
      </c>
      <c r="P11" s="333">
        <v>0</v>
      </c>
      <c r="Q11" s="333">
        <v>3.0748822156661801</v>
      </c>
      <c r="R11" s="334">
        <v>2.18688694906648</v>
      </c>
      <c r="S11" s="333">
        <v>0</v>
      </c>
      <c r="T11" s="333">
        <v>1.6222054530278098</v>
      </c>
      <c r="U11" s="334">
        <v>1.0827903210687899</v>
      </c>
    </row>
    <row r="12" spans="1:21" ht="12.75" customHeight="1">
      <c r="A12" s="44"/>
      <c r="B12" s="44"/>
      <c r="C12" s="93" t="s">
        <v>20</v>
      </c>
      <c r="D12" s="332">
        <v>0.463175840126271</v>
      </c>
      <c r="E12" s="333">
        <v>2.0806355177662201</v>
      </c>
      <c r="F12" s="334">
        <v>1.4925364364698299</v>
      </c>
      <c r="G12" s="333">
        <v>1.0059447419834799</v>
      </c>
      <c r="H12" s="333">
        <v>1.35824450889818</v>
      </c>
      <c r="I12" s="334">
        <v>1.2401004340830299</v>
      </c>
      <c r="J12" s="333">
        <v>0.60979695756719299</v>
      </c>
      <c r="K12" s="333">
        <v>2.8853750986180398</v>
      </c>
      <c r="L12" s="334">
        <v>1.9118893630940201</v>
      </c>
      <c r="M12" s="333">
        <v>2.0445154339283698E-2</v>
      </c>
      <c r="N12" s="333">
        <v>4.0133126168443098E-2</v>
      </c>
      <c r="O12" s="334">
        <v>3.1762131752752505E-2</v>
      </c>
      <c r="P12" s="333">
        <v>0.14048307549654099</v>
      </c>
      <c r="Q12" s="333">
        <v>1.1938287510430501</v>
      </c>
      <c r="R12" s="334">
        <v>0.88963304259835796</v>
      </c>
      <c r="S12" s="333">
        <v>0.41847983221931695</v>
      </c>
      <c r="T12" s="333">
        <v>0.34853152699873796</v>
      </c>
      <c r="U12" s="334">
        <v>0.37179071048899498</v>
      </c>
    </row>
    <row r="13" spans="1:21" ht="30" customHeight="1">
      <c r="A13" s="44"/>
      <c r="B13" s="44"/>
      <c r="C13" s="137" t="s">
        <v>8</v>
      </c>
      <c r="D13" s="332">
        <v>0</v>
      </c>
      <c r="E13" s="333">
        <v>0</v>
      </c>
      <c r="F13" s="334">
        <v>0</v>
      </c>
      <c r="G13" s="333">
        <v>0.89732484223925701</v>
      </c>
      <c r="H13" s="333">
        <v>0</v>
      </c>
      <c r="I13" s="334">
        <v>0.30091877216789004</v>
      </c>
      <c r="J13" s="333">
        <v>0</v>
      </c>
      <c r="K13" s="333">
        <v>0</v>
      </c>
      <c r="L13" s="334">
        <v>0</v>
      </c>
      <c r="M13" s="333">
        <v>0</v>
      </c>
      <c r="N13" s="333">
        <v>0</v>
      </c>
      <c r="O13" s="334">
        <v>0</v>
      </c>
      <c r="P13" s="333">
        <v>0</v>
      </c>
      <c r="Q13" s="333">
        <v>0</v>
      </c>
      <c r="R13" s="334">
        <v>0</v>
      </c>
      <c r="S13" s="333">
        <v>0</v>
      </c>
      <c r="T13" s="333">
        <v>0</v>
      </c>
      <c r="U13" s="334">
        <v>0</v>
      </c>
    </row>
    <row r="14" spans="1:21" ht="15" customHeight="1">
      <c r="A14" s="44"/>
      <c r="B14" s="44"/>
      <c r="C14" s="93" t="s">
        <v>21</v>
      </c>
      <c r="D14" s="332">
        <v>50.809987979330593</v>
      </c>
      <c r="E14" s="333">
        <v>9.7549608015567397</v>
      </c>
      <c r="F14" s="334">
        <v>24.6823337058856</v>
      </c>
      <c r="G14" s="333">
        <v>41.915682765821401</v>
      </c>
      <c r="H14" s="333">
        <v>20.650505230575799</v>
      </c>
      <c r="I14" s="334">
        <v>27.7818035214706</v>
      </c>
      <c r="J14" s="333">
        <v>34.818967720430102</v>
      </c>
      <c r="K14" s="333">
        <v>24.699469677618499</v>
      </c>
      <c r="L14" s="334">
        <v>29.028561620289</v>
      </c>
      <c r="M14" s="333">
        <v>42.067413176468996</v>
      </c>
      <c r="N14" s="333">
        <v>21.7432737293733</v>
      </c>
      <c r="O14" s="334">
        <v>30.384755914113796</v>
      </c>
      <c r="P14" s="333">
        <v>41.873509673801401</v>
      </c>
      <c r="Q14" s="333">
        <v>19.811685848182702</v>
      </c>
      <c r="R14" s="334">
        <v>26.1829201770597</v>
      </c>
      <c r="S14" s="333">
        <v>42.121997219091803</v>
      </c>
      <c r="T14" s="333">
        <v>30.382882249016603</v>
      </c>
      <c r="U14" s="334">
        <v>34.286368234004698</v>
      </c>
    </row>
    <row r="15" spans="1:21">
      <c r="A15" s="44"/>
      <c r="B15" s="44"/>
      <c r="C15" s="76" t="s">
        <v>10</v>
      </c>
      <c r="D15" s="332">
        <v>3.8196228243716099</v>
      </c>
      <c r="E15" s="333">
        <v>0</v>
      </c>
      <c r="F15" s="334">
        <v>1.3887929974175799</v>
      </c>
      <c r="G15" s="333">
        <v>3.85302922552472</v>
      </c>
      <c r="H15" s="333">
        <v>0</v>
      </c>
      <c r="I15" s="334">
        <v>1.29211715656787</v>
      </c>
      <c r="J15" s="333">
        <v>4.3642975467576495</v>
      </c>
      <c r="K15" s="333">
        <v>0</v>
      </c>
      <c r="L15" s="334">
        <v>1.86703384546886</v>
      </c>
      <c r="M15" s="333">
        <v>3.9047551060196204</v>
      </c>
      <c r="N15" s="333">
        <v>5.6404700842176698E-2</v>
      </c>
      <c r="O15" s="334">
        <v>1.6926585532399501</v>
      </c>
      <c r="P15" s="333">
        <v>4.6784947283345302</v>
      </c>
      <c r="Q15" s="333">
        <v>4.0177412026891603E-2</v>
      </c>
      <c r="R15" s="334">
        <v>1.3796771173761702</v>
      </c>
      <c r="S15" s="333">
        <v>6.1351823188624106</v>
      </c>
      <c r="T15" s="333">
        <v>2.0982176901585901E-2</v>
      </c>
      <c r="U15" s="334">
        <v>2.0540736513777897</v>
      </c>
    </row>
    <row r="16" spans="1:21" ht="15.75" customHeight="1">
      <c r="A16" s="44"/>
      <c r="B16" s="44"/>
      <c r="C16" s="93" t="s">
        <v>22</v>
      </c>
      <c r="D16" s="332">
        <v>24.399891596875101</v>
      </c>
      <c r="E16" s="333">
        <v>8.9114760890318401</v>
      </c>
      <c r="F16" s="334">
        <v>14.5429753200915</v>
      </c>
      <c r="G16" s="333">
        <v>24.948350692416803</v>
      </c>
      <c r="H16" s="333">
        <v>2.0911567336365602</v>
      </c>
      <c r="I16" s="334">
        <v>9.7563393046608304</v>
      </c>
      <c r="J16" s="333">
        <v>20.461771249070502</v>
      </c>
      <c r="K16" s="333">
        <v>1.47068856890445</v>
      </c>
      <c r="L16" s="334">
        <v>9.5950187150718307</v>
      </c>
      <c r="M16" s="333">
        <v>21.6508651319241</v>
      </c>
      <c r="N16" s="333">
        <v>6.5791223946634405</v>
      </c>
      <c r="O16" s="334">
        <v>12.987373858202901</v>
      </c>
      <c r="P16" s="333">
        <v>29.181949127567901</v>
      </c>
      <c r="Q16" s="333">
        <v>11.412527281513899</v>
      </c>
      <c r="R16" s="334">
        <v>16.544158798687501</v>
      </c>
      <c r="S16" s="333">
        <v>24.657391254726498</v>
      </c>
      <c r="T16" s="333">
        <v>8.2864502386978796</v>
      </c>
      <c r="U16" s="334">
        <v>13.730109235141299</v>
      </c>
    </row>
    <row r="17" spans="1:21" s="703" customFormat="1">
      <c r="A17" s="638"/>
      <c r="B17" s="713" t="s">
        <v>556</v>
      </c>
      <c r="C17" s="713"/>
      <c r="D17" s="721">
        <v>79.492678240703597</v>
      </c>
      <c r="E17" s="715">
        <v>21.4741659312085</v>
      </c>
      <c r="F17" s="714">
        <v>42.569364939311797</v>
      </c>
      <c r="G17" s="715">
        <v>74.956119507399492</v>
      </c>
      <c r="H17" s="715">
        <v>24.099906473110501</v>
      </c>
      <c r="I17" s="714">
        <v>41.154587746836398</v>
      </c>
      <c r="J17" s="715">
        <v>60.2548334738254</v>
      </c>
      <c r="K17" s="715">
        <v>29.055533345141001</v>
      </c>
      <c r="L17" s="714">
        <v>42.4025035439237</v>
      </c>
      <c r="M17" s="715">
        <v>67.643478568752002</v>
      </c>
      <c r="N17" s="715">
        <v>29.208650281866401</v>
      </c>
      <c r="O17" s="714">
        <v>45.550492689474197</v>
      </c>
      <c r="P17" s="715">
        <v>75.874436605200401</v>
      </c>
      <c r="Q17" s="715">
        <v>35.533101508432701</v>
      </c>
      <c r="R17" s="714">
        <v>47.183276084788197</v>
      </c>
      <c r="S17" s="715">
        <v>73.333050624900096</v>
      </c>
      <c r="T17" s="715">
        <v>40.661051644642697</v>
      </c>
      <c r="U17" s="714">
        <v>51.525132152081497</v>
      </c>
    </row>
    <row r="18" spans="1:21" ht="14.25" customHeight="1">
      <c r="A18" s="44"/>
      <c r="B18" s="44"/>
      <c r="C18" s="279" t="s">
        <v>212</v>
      </c>
      <c r="D18" s="335"/>
      <c r="E18" s="336"/>
      <c r="F18" s="337"/>
      <c r="G18" s="336"/>
      <c r="H18" s="336"/>
      <c r="I18" s="337"/>
      <c r="J18" s="336"/>
      <c r="K18" s="336"/>
      <c r="L18" s="337"/>
      <c r="M18" s="336"/>
      <c r="N18" s="336"/>
      <c r="O18" s="337"/>
      <c r="P18" s="336"/>
      <c r="Q18" s="336"/>
      <c r="R18" s="337"/>
      <c r="S18" s="336"/>
      <c r="T18" s="336"/>
      <c r="U18" s="337"/>
    </row>
    <row r="19" spans="1:21">
      <c r="A19" s="44"/>
      <c r="B19" s="44"/>
      <c r="C19" s="76" t="s">
        <v>12</v>
      </c>
      <c r="D19" s="332">
        <v>7.5980891988450097</v>
      </c>
      <c r="E19" s="333">
        <v>0</v>
      </c>
      <c r="F19" s="334">
        <v>2.76262174521018</v>
      </c>
      <c r="G19" s="333">
        <v>7.4204179355595601</v>
      </c>
      <c r="H19" s="333">
        <v>0</v>
      </c>
      <c r="I19" s="334">
        <v>2.4884444841278501</v>
      </c>
      <c r="J19" s="333">
        <v>6.4760429115858305</v>
      </c>
      <c r="K19" s="333">
        <v>0</v>
      </c>
      <c r="L19" s="334">
        <v>2.7704323940108502</v>
      </c>
      <c r="M19" s="333">
        <v>1.9515311798413801</v>
      </c>
      <c r="N19" s="333">
        <v>0</v>
      </c>
      <c r="O19" s="334">
        <v>0.82975822752361594</v>
      </c>
      <c r="P19" s="333">
        <v>1.8644732384419702</v>
      </c>
      <c r="Q19" s="333">
        <v>1.5932343541746198E-2</v>
      </c>
      <c r="R19" s="334">
        <v>0.54977248753949703</v>
      </c>
      <c r="S19" s="333">
        <v>1.04930097383423</v>
      </c>
      <c r="T19" s="333">
        <v>1.3210040541908301E-2</v>
      </c>
      <c r="U19" s="334">
        <v>0.35773059831729997</v>
      </c>
    </row>
    <row r="20" spans="1:21">
      <c r="A20" s="44"/>
      <c r="B20" s="44"/>
      <c r="C20" s="76" t="s">
        <v>13</v>
      </c>
      <c r="D20" s="332">
        <v>3.6982397195794401</v>
      </c>
      <c r="E20" s="333">
        <v>67.481812630206591</v>
      </c>
      <c r="F20" s="334">
        <v>44.2904705837243</v>
      </c>
      <c r="G20" s="333">
        <v>3.11117238489186</v>
      </c>
      <c r="H20" s="333">
        <v>45.149973854871199</v>
      </c>
      <c r="I20" s="334">
        <v>31.052220258539897</v>
      </c>
      <c r="J20" s="333">
        <v>19.111994567145</v>
      </c>
      <c r="K20" s="333">
        <v>25.281160506229899</v>
      </c>
      <c r="L20" s="334">
        <v>22.642009191915399</v>
      </c>
      <c r="M20" s="333">
        <v>4.03504526022141</v>
      </c>
      <c r="N20" s="333">
        <v>23.933191340184102</v>
      </c>
      <c r="O20" s="334">
        <v>15.472834368763399</v>
      </c>
      <c r="P20" s="333">
        <v>5.6365598176477603</v>
      </c>
      <c r="Q20" s="333">
        <v>29.645636124285002</v>
      </c>
      <c r="R20" s="334">
        <v>22.712054731442699</v>
      </c>
      <c r="S20" s="333">
        <v>5.6511658472332602</v>
      </c>
      <c r="T20" s="333">
        <v>14.1816186502805</v>
      </c>
      <c r="U20" s="334">
        <v>11.3450757722884</v>
      </c>
    </row>
    <row r="21" spans="1:21">
      <c r="A21" s="44"/>
      <c r="B21" s="44"/>
      <c r="C21" s="76" t="s">
        <v>14</v>
      </c>
      <c r="D21" s="332">
        <v>6.0753640732314107</v>
      </c>
      <c r="E21" s="333">
        <v>11.044021438584901</v>
      </c>
      <c r="F21" s="334">
        <v>9.2374460585392288</v>
      </c>
      <c r="G21" s="333">
        <v>14.5122901721491</v>
      </c>
      <c r="H21" s="333">
        <v>30.7501196720184</v>
      </c>
      <c r="I21" s="334">
        <v>25.304747510495901</v>
      </c>
      <c r="J21" s="333">
        <v>11.2035426392698</v>
      </c>
      <c r="K21" s="333">
        <v>45.663306148629104</v>
      </c>
      <c r="L21" s="334">
        <v>30.921519162399203</v>
      </c>
      <c r="M21" s="333">
        <v>24.7586461131813</v>
      </c>
      <c r="N21" s="333">
        <v>46.8581583779496</v>
      </c>
      <c r="O21" s="334">
        <v>37.461817537809402</v>
      </c>
      <c r="P21" s="333">
        <v>14.911549594662802</v>
      </c>
      <c r="Q21" s="333">
        <v>34.805330023740503</v>
      </c>
      <c r="R21" s="334">
        <v>29.060204969587101</v>
      </c>
      <c r="S21" s="333">
        <v>17.5371505989886</v>
      </c>
      <c r="T21" s="333">
        <v>45.144119664534998</v>
      </c>
      <c r="U21" s="334">
        <v>35.9642609520116</v>
      </c>
    </row>
    <row r="22" spans="1:21">
      <c r="A22" s="44"/>
      <c r="B22" s="44"/>
      <c r="C22" s="109" t="s">
        <v>15</v>
      </c>
      <c r="D22" s="332">
        <v>3.1356287676405499</v>
      </c>
      <c r="E22" s="333">
        <v>0</v>
      </c>
      <c r="F22" s="334">
        <v>1.1400966732145201</v>
      </c>
      <c r="G22" s="333">
        <v>0</v>
      </c>
      <c r="H22" s="333">
        <v>0</v>
      </c>
      <c r="I22" s="334">
        <v>0</v>
      </c>
      <c r="J22" s="333">
        <v>2.9535864081739498</v>
      </c>
      <c r="K22" s="333">
        <v>0</v>
      </c>
      <c r="L22" s="334">
        <v>1.26353570775082</v>
      </c>
      <c r="M22" s="333">
        <v>1.6112988780038799</v>
      </c>
      <c r="N22" s="333">
        <v>0</v>
      </c>
      <c r="O22" s="334">
        <v>0.68509717642941403</v>
      </c>
      <c r="P22" s="333">
        <v>1.7129807440471201</v>
      </c>
      <c r="Q22" s="333">
        <v>0</v>
      </c>
      <c r="R22" s="334">
        <v>0.49469172664251498</v>
      </c>
      <c r="S22" s="333">
        <v>2.4293319550438301</v>
      </c>
      <c r="T22" s="333">
        <v>0</v>
      </c>
      <c r="U22" s="334">
        <v>0.80780052530113589</v>
      </c>
    </row>
    <row r="23" spans="1:21" s="703" customFormat="1">
      <c r="A23" s="638"/>
      <c r="B23" s="713" t="s">
        <v>557</v>
      </c>
      <c r="C23" s="713"/>
      <c r="D23" s="721">
        <v>20.507321759296403</v>
      </c>
      <c r="E23" s="715">
        <v>78.525834068791497</v>
      </c>
      <c r="F23" s="714">
        <v>57.430635060688196</v>
      </c>
      <c r="G23" s="715">
        <v>25.043880492600501</v>
      </c>
      <c r="H23" s="715">
        <v>75.900093526889506</v>
      </c>
      <c r="I23" s="714">
        <v>0.58845412253163598</v>
      </c>
      <c r="J23" s="715">
        <v>39.7451665261746</v>
      </c>
      <c r="K23" s="715">
        <v>70.944466654858999</v>
      </c>
      <c r="L23" s="714">
        <v>57.5974964560763</v>
      </c>
      <c r="M23" s="715">
        <v>32.356521431247998</v>
      </c>
      <c r="N23" s="715">
        <v>70.791349718133603</v>
      </c>
      <c r="O23" s="714">
        <v>54.449507310525803</v>
      </c>
      <c r="P23" s="715">
        <v>24.125563394799602</v>
      </c>
      <c r="Q23" s="715">
        <v>64.466898491567306</v>
      </c>
      <c r="R23" s="714">
        <v>52.816723915211803</v>
      </c>
      <c r="S23" s="715">
        <v>26.666949375099904</v>
      </c>
      <c r="T23" s="715">
        <v>59.338948355357303</v>
      </c>
      <c r="U23" s="714">
        <v>48.474867847918404</v>
      </c>
    </row>
    <row r="24" spans="1:21">
      <c r="A24" s="119" t="s">
        <v>558</v>
      </c>
      <c r="B24" s="99"/>
      <c r="C24" s="119"/>
      <c r="D24" s="338">
        <v>100</v>
      </c>
      <c r="E24" s="339">
        <v>100</v>
      </c>
      <c r="F24" s="339">
        <v>100</v>
      </c>
      <c r="G24" s="339">
        <v>100</v>
      </c>
      <c r="H24" s="339">
        <v>100</v>
      </c>
      <c r="I24" s="339">
        <v>100</v>
      </c>
      <c r="J24" s="339">
        <v>100</v>
      </c>
      <c r="K24" s="339">
        <v>100</v>
      </c>
      <c r="L24" s="339">
        <v>100</v>
      </c>
      <c r="M24" s="339">
        <v>100</v>
      </c>
      <c r="N24" s="339">
        <v>100</v>
      </c>
      <c r="O24" s="339">
        <v>100</v>
      </c>
      <c r="P24" s="339">
        <v>100</v>
      </c>
      <c r="Q24" s="339">
        <v>100</v>
      </c>
      <c r="R24" s="339">
        <v>100</v>
      </c>
      <c r="S24" s="339">
        <v>100</v>
      </c>
      <c r="T24" s="339">
        <v>100</v>
      </c>
      <c r="U24" s="339">
        <v>100</v>
      </c>
    </row>
    <row r="25" spans="1:21">
      <c r="A25" s="270" t="s">
        <v>240</v>
      </c>
      <c r="B25" s="44"/>
      <c r="D25" s="44"/>
      <c r="E25" s="44"/>
      <c r="F25" s="44"/>
      <c r="G25" s="44"/>
      <c r="H25" s="44"/>
      <c r="I25" s="44"/>
      <c r="J25" s="44"/>
      <c r="K25" s="44"/>
      <c r="L25" s="44"/>
      <c r="M25" s="44"/>
      <c r="N25" s="44"/>
      <c r="O25" s="44"/>
      <c r="P25" s="44"/>
      <c r="Q25" s="44"/>
      <c r="R25" s="44"/>
      <c r="S25" s="44"/>
      <c r="T25" s="44"/>
      <c r="U25" s="44"/>
    </row>
    <row r="26" spans="1:21">
      <c r="A26" s="270" t="s">
        <v>214</v>
      </c>
    </row>
    <row r="27" spans="1:21">
      <c r="E27" s="278"/>
      <c r="F27" s="278"/>
      <c r="G27" s="278"/>
      <c r="H27" s="278"/>
      <c r="I27" s="278"/>
      <c r="J27" s="278"/>
      <c r="K27" s="278"/>
      <c r="L27" s="278"/>
      <c r="M27" s="278"/>
      <c r="N27" s="278"/>
      <c r="O27" s="278"/>
      <c r="P27" s="278"/>
      <c r="Q27" s="278"/>
      <c r="R27" s="278"/>
      <c r="S27" s="278"/>
      <c r="T27" s="278"/>
      <c r="U27" s="278"/>
    </row>
    <row r="28" spans="1:21">
      <c r="A28" s="40" t="s">
        <v>170</v>
      </c>
    </row>
    <row r="34" ht="12.75" customHeight="1"/>
  </sheetData>
  <mergeCells count="1">
    <mergeCell ref="A8:C9"/>
  </mergeCells>
  <hyperlinks>
    <hyperlink ref="C1" location="Indice!A1" display="Cuadro 4.1 Estructura porcentual del gasto ambiental de la Administración central"/>
  </hyperlinks>
  <pageMargins left="0.7" right="0.7" top="0.75" bottom="0.75" header="0.3" footer="0.3"/>
  <pageSetup scale="55" orientation="portrait" r:id="rId1"/>
</worksheet>
</file>

<file path=xl/worksheets/sheet27.xml><?xml version="1.0" encoding="utf-8"?>
<worksheet xmlns="http://schemas.openxmlformats.org/spreadsheetml/2006/main" xmlns:r="http://schemas.openxmlformats.org/officeDocument/2006/relationships">
  <sheetPr>
    <tabColor theme="3" tint="0.39997558519241921"/>
    <pageSetUpPr fitToPage="1"/>
  </sheetPr>
  <dimension ref="A1:M45"/>
  <sheetViews>
    <sheetView topLeftCell="A2" workbookViewId="0">
      <selection activeCell="B2" sqref="B2"/>
    </sheetView>
  </sheetViews>
  <sheetFormatPr baseColWidth="10" defaultRowHeight="12.75"/>
  <cols>
    <col min="1" max="1" width="1.1640625" style="44" customWidth="1"/>
    <col min="2" max="2" width="1" style="44" customWidth="1"/>
    <col min="3" max="3" width="69.5" style="76" customWidth="1"/>
    <col min="4" max="16384" width="12" style="44"/>
  </cols>
  <sheetData>
    <row r="1" spans="1:13" hidden="1">
      <c r="C1" s="8" t="s">
        <v>314</v>
      </c>
    </row>
    <row r="2" spans="1:13">
      <c r="A2" s="524" t="s">
        <v>191</v>
      </c>
      <c r="B2" s="524"/>
      <c r="C2" s="524"/>
      <c r="D2" s="524"/>
      <c r="E2" s="524"/>
      <c r="F2" s="524"/>
      <c r="G2" s="524"/>
      <c r="H2" s="524"/>
      <c r="I2" s="524"/>
      <c r="K2" s="357"/>
    </row>
    <row r="3" spans="1:13" ht="25.5" customHeight="1">
      <c r="A3" s="545" t="s">
        <v>260</v>
      </c>
      <c r="B3" s="545"/>
      <c r="C3" s="545"/>
      <c r="D3" s="545"/>
      <c r="E3" s="545"/>
      <c r="F3" s="545"/>
      <c r="G3" s="545"/>
      <c r="H3" s="545"/>
      <c r="I3" s="545"/>
    </row>
    <row r="4" spans="1:13">
      <c r="A4" s="546" t="s">
        <v>17</v>
      </c>
      <c r="B4" s="546"/>
      <c r="C4" s="546"/>
      <c r="D4" s="546"/>
      <c r="E4" s="546"/>
      <c r="F4" s="546"/>
      <c r="G4" s="546"/>
      <c r="H4" s="546"/>
      <c r="I4" s="546"/>
    </row>
    <row r="5" spans="1:13">
      <c r="A5" s="550" t="s">
        <v>246</v>
      </c>
      <c r="B5" s="550"/>
      <c r="C5" s="550"/>
      <c r="D5" s="550"/>
      <c r="E5" s="550"/>
      <c r="F5" s="550"/>
      <c r="G5" s="550"/>
      <c r="H5" s="550"/>
      <c r="I5" s="550"/>
    </row>
    <row r="6" spans="1:13">
      <c r="A6" s="551" t="s">
        <v>29</v>
      </c>
      <c r="B6" s="551"/>
      <c r="C6" s="551"/>
      <c r="D6" s="551"/>
      <c r="E6" s="551"/>
      <c r="F6" s="551"/>
      <c r="G6" s="551"/>
      <c r="H6" s="551"/>
      <c r="I6" s="551"/>
    </row>
    <row r="7" spans="1:13">
      <c r="C7" s="44"/>
      <c r="K7" s="357"/>
    </row>
    <row r="8" spans="1:13">
      <c r="A8" s="622" t="s">
        <v>581</v>
      </c>
      <c r="B8" s="622"/>
      <c r="C8" s="622"/>
      <c r="D8" s="698">
        <v>2001</v>
      </c>
      <c r="E8" s="698">
        <v>2002</v>
      </c>
      <c r="F8" s="698">
        <v>2003</v>
      </c>
      <c r="G8" s="698">
        <v>2004</v>
      </c>
      <c r="H8" s="698">
        <v>2005</v>
      </c>
      <c r="I8" s="698">
        <v>2006</v>
      </c>
    </row>
    <row r="9" spans="1:13" ht="13.5" customHeight="1">
      <c r="A9" s="79" t="s">
        <v>211</v>
      </c>
    </row>
    <row r="10" spans="1:13">
      <c r="C10" s="820" t="s">
        <v>161</v>
      </c>
      <c r="D10" s="72">
        <v>6.2545159881288196E-3</v>
      </c>
      <c r="E10" s="72">
        <v>5.1415836137318561E-3</v>
      </c>
      <c r="F10" s="72">
        <v>7.1175006794255017E-4</v>
      </c>
      <c r="G10" s="72">
        <v>6.8501171759519138E-5</v>
      </c>
      <c r="H10" s="72">
        <v>2.2915976448149486E-3</v>
      </c>
      <c r="I10" s="72">
        <v>8.0822943068166063E-4</v>
      </c>
    </row>
    <row r="11" spans="1:13" ht="12.75" customHeight="1">
      <c r="C11" s="137" t="s">
        <v>8</v>
      </c>
      <c r="D11" s="72">
        <v>0</v>
      </c>
      <c r="E11" s="72">
        <v>1.2476400987527906E-3</v>
      </c>
      <c r="F11" s="72">
        <v>0</v>
      </c>
      <c r="G11" s="72">
        <v>0</v>
      </c>
      <c r="H11" s="72">
        <v>0</v>
      </c>
      <c r="I11" s="72">
        <v>0</v>
      </c>
    </row>
    <row r="12" spans="1:13">
      <c r="C12" s="76" t="s">
        <v>9</v>
      </c>
      <c r="D12" s="72">
        <v>0.10343201480087467</v>
      </c>
      <c r="E12" s="72">
        <v>0.11518620735870747</v>
      </c>
      <c r="F12" s="72">
        <v>7.9200868144022468E-2</v>
      </c>
      <c r="G12" s="72">
        <v>6.5530594732937028E-2</v>
      </c>
      <c r="H12" s="72">
        <v>6.7444345408847764E-2</v>
      </c>
      <c r="I12" s="72">
        <v>7.453454617374479E-2</v>
      </c>
      <c r="M12" s="357"/>
    </row>
    <row r="13" spans="1:13">
      <c r="C13" s="76" t="s">
        <v>10</v>
      </c>
      <c r="D13" s="72">
        <v>5.8197761838862739E-3</v>
      </c>
      <c r="E13" s="72">
        <v>5.3572502812190012E-3</v>
      </c>
      <c r="F13" s="72">
        <v>5.093972734496602E-3</v>
      </c>
      <c r="G13" s="72">
        <v>3.6505450952819284E-3</v>
      </c>
      <c r="H13" s="72">
        <v>3.5538977099479172E-3</v>
      </c>
      <c r="I13" s="72">
        <v>4.4653153803863423E-3</v>
      </c>
    </row>
    <row r="14" spans="1:13">
      <c r="C14" s="76" t="s">
        <v>11</v>
      </c>
      <c r="D14" s="72">
        <v>6.0942747816336885E-2</v>
      </c>
      <c r="E14" s="72">
        <v>4.0450783597978664E-2</v>
      </c>
      <c r="F14" s="72">
        <v>2.6178831112344515E-2</v>
      </c>
      <c r="G14" s="72">
        <v>2.8009780146093177E-2</v>
      </c>
      <c r="H14" s="72">
        <v>4.2615947838206721E-2</v>
      </c>
      <c r="I14" s="72">
        <v>2.9847648306543021E-2</v>
      </c>
    </row>
    <row r="15" spans="1:13" s="635" customFormat="1" ht="15">
      <c r="A15" s="713" t="s">
        <v>556</v>
      </c>
      <c r="C15" s="723"/>
      <c r="D15" s="702">
        <v>0.17644905478922668</v>
      </c>
      <c r="E15" s="702">
        <v>0.16738346495038975</v>
      </c>
      <c r="F15" s="702">
        <v>0.11118542205880613</v>
      </c>
      <c r="G15" s="702">
        <v>9.7259421146071653E-2</v>
      </c>
      <c r="H15" s="702">
        <v>0.11590578860181738</v>
      </c>
      <c r="I15" s="702">
        <v>0.10965573929135584</v>
      </c>
      <c r="K15" s="724"/>
    </row>
    <row r="16" spans="1:13">
      <c r="A16" s="29" t="s">
        <v>255</v>
      </c>
      <c r="D16" s="72"/>
      <c r="E16" s="72"/>
      <c r="F16" s="72"/>
      <c r="G16" s="72"/>
      <c r="H16" s="72"/>
      <c r="I16" s="72"/>
    </row>
    <row r="17" spans="1:13">
      <c r="B17" s="109" t="s">
        <v>12</v>
      </c>
      <c r="D17" s="72">
        <v>1.1576844258112449E-2</v>
      </c>
      <c r="E17" s="72">
        <v>1.0317346104901457E-2</v>
      </c>
      <c r="F17" s="72">
        <v>7.5587848137339906E-3</v>
      </c>
      <c r="G17" s="72">
        <v>1.7895338796818528E-3</v>
      </c>
      <c r="H17" s="72">
        <v>1.4161539391004333E-3</v>
      </c>
      <c r="I17" s="72">
        <v>7.7766439466743812E-4</v>
      </c>
    </row>
    <row r="18" spans="1:13">
      <c r="B18" s="76" t="s">
        <v>13</v>
      </c>
      <c r="D18" s="72">
        <v>0.18560046483210388</v>
      </c>
      <c r="E18" s="72">
        <v>0.12874569064186853</v>
      </c>
      <c r="F18" s="72">
        <v>6.1775943568325498E-2</v>
      </c>
      <c r="G18" s="72">
        <v>3.3370155786517655E-2</v>
      </c>
      <c r="H18" s="72">
        <v>3.8766511419451019E-2</v>
      </c>
      <c r="I18" s="72">
        <v>1.490148955644174E-2</v>
      </c>
    </row>
    <row r="19" spans="1:13">
      <c r="B19" s="76" t="s">
        <v>14</v>
      </c>
      <c r="D19" s="72">
        <v>3.8709777966468406E-2</v>
      </c>
      <c r="E19" s="72">
        <v>0.10491607903176975</v>
      </c>
      <c r="F19" s="72">
        <v>8.4365570503581233E-2</v>
      </c>
      <c r="G19" s="72">
        <v>8.0793645009638204E-2</v>
      </c>
      <c r="H19" s="72">
        <v>7.485591707749864E-2</v>
      </c>
      <c r="I19" s="72">
        <v>7.818208829343902E-2</v>
      </c>
    </row>
    <row r="20" spans="1:13">
      <c r="B20" s="109" t="s">
        <v>15</v>
      </c>
      <c r="D20" s="72">
        <v>4.7776072304797045E-3</v>
      </c>
      <c r="E20" s="72">
        <v>0</v>
      </c>
      <c r="F20" s="72">
        <v>3.4474021239444485E-3</v>
      </c>
      <c r="G20" s="72">
        <v>1.4775443827219163E-3</v>
      </c>
      <c r="H20" s="72">
        <v>1.2742719092047375E-3</v>
      </c>
      <c r="I20" s="72">
        <v>1.7560636676741531E-3</v>
      </c>
    </row>
    <row r="21" spans="1:13" s="635" customFormat="1">
      <c r="A21" s="713" t="s">
        <v>557</v>
      </c>
      <c r="C21" s="723"/>
      <c r="D21" s="702">
        <v>0.24066469428716447</v>
      </c>
      <c r="E21" s="702">
        <v>0.24397911577853973</v>
      </c>
      <c r="F21" s="702">
        <v>0.15714770100958519</v>
      </c>
      <c r="G21" s="702">
        <v>0.11743087905855962</v>
      </c>
      <c r="H21" s="702">
        <v>0.11631285434525482</v>
      </c>
      <c r="I21" s="702">
        <v>9.5617305912222353E-2</v>
      </c>
    </row>
    <row r="22" spans="1:13">
      <c r="A22" s="139" t="s">
        <v>570</v>
      </c>
      <c r="B22" s="99"/>
      <c r="C22" s="147"/>
      <c r="D22" s="15">
        <v>0.41711374907639115</v>
      </c>
      <c r="E22" s="15">
        <v>0.41136258072892956</v>
      </c>
      <c r="F22" s="15">
        <v>0.2683331230683913</v>
      </c>
      <c r="G22" s="15">
        <v>0.21469030020463131</v>
      </c>
      <c r="H22" s="15">
        <v>0.23221864294707215</v>
      </c>
      <c r="I22" s="15">
        <v>0.2052730452035782</v>
      </c>
    </row>
    <row r="23" spans="1:13">
      <c r="A23" s="270" t="s">
        <v>240</v>
      </c>
      <c r="C23" s="29"/>
      <c r="D23" s="148"/>
      <c r="E23" s="148"/>
      <c r="F23" s="148"/>
      <c r="G23" s="148"/>
      <c r="H23" s="148"/>
      <c r="I23" s="148"/>
    </row>
    <row r="24" spans="1:13">
      <c r="A24" s="270" t="s">
        <v>214</v>
      </c>
      <c r="B24" s="97"/>
      <c r="C24" s="7"/>
      <c r="D24" s="355"/>
      <c r="E24" s="355"/>
      <c r="F24" s="355"/>
      <c r="G24" s="355"/>
      <c r="H24" s="355"/>
      <c r="I24" s="355"/>
      <c r="J24" s="97"/>
    </row>
    <row r="25" spans="1:13">
      <c r="B25" s="84"/>
      <c r="C25" s="150"/>
      <c r="D25" s="84"/>
      <c r="E25" s="84"/>
      <c r="F25" s="84"/>
      <c r="G25" s="84"/>
      <c r="H25" s="84"/>
      <c r="I25" s="84"/>
      <c r="J25" s="84"/>
    </row>
    <row r="26" spans="1:13">
      <c r="A26" s="40" t="s">
        <v>170</v>
      </c>
      <c r="B26" s="97"/>
      <c r="C26" s="7"/>
      <c r="D26" s="355"/>
      <c r="E26" s="355"/>
      <c r="F26" s="355"/>
      <c r="G26" s="355"/>
      <c r="H26" s="355"/>
      <c r="I26" s="355"/>
      <c r="J26" s="97"/>
    </row>
    <row r="27" spans="1:13">
      <c r="A27" s="97"/>
      <c r="B27" s="97"/>
      <c r="C27" s="113"/>
      <c r="D27" s="356"/>
      <c r="E27" s="356"/>
      <c r="F27" s="356"/>
      <c r="G27" s="356"/>
      <c r="H27" s="356"/>
      <c r="I27" s="356"/>
      <c r="J27" s="97"/>
    </row>
    <row r="28" spans="1:13">
      <c r="A28" s="97"/>
      <c r="B28" s="97"/>
      <c r="C28" s="319"/>
      <c r="D28" s="319"/>
      <c r="E28" s="319"/>
      <c r="F28" s="319"/>
      <c r="G28" s="319"/>
      <c r="H28" s="319"/>
      <c r="I28" s="319"/>
      <c r="J28" s="97"/>
    </row>
    <row r="29" spans="1:13">
      <c r="A29" s="97"/>
      <c r="B29" s="97"/>
      <c r="C29" s="113"/>
      <c r="D29" s="356"/>
      <c r="E29" s="356"/>
      <c r="F29" s="356"/>
      <c r="G29" s="356"/>
      <c r="H29" s="356"/>
      <c r="I29" s="356"/>
      <c r="J29" s="97"/>
      <c r="M29" s="19"/>
    </row>
    <row r="30" spans="1:13">
      <c r="A30" s="97"/>
      <c r="B30" s="97"/>
      <c r="C30" s="109"/>
      <c r="D30" s="188"/>
      <c r="E30" s="188"/>
      <c r="F30" s="188"/>
      <c r="G30" s="188"/>
      <c r="H30" s="188"/>
      <c r="I30" s="188"/>
      <c r="J30" s="97"/>
    </row>
    <row r="31" spans="1:13">
      <c r="A31" s="29"/>
      <c r="B31" s="29"/>
      <c r="C31" s="114"/>
      <c r="D31" s="97"/>
      <c r="E31" s="97"/>
      <c r="F31" s="97"/>
      <c r="G31" s="97"/>
      <c r="H31" s="97"/>
      <c r="I31" s="97"/>
      <c r="J31" s="97"/>
    </row>
    <row r="32" spans="1:13">
      <c r="A32" s="97"/>
      <c r="B32" s="97"/>
      <c r="C32" s="109"/>
      <c r="D32" s="136"/>
      <c r="E32" s="136"/>
      <c r="F32" s="136"/>
      <c r="G32" s="136"/>
      <c r="H32" s="136"/>
      <c r="I32" s="136"/>
      <c r="J32" s="97"/>
    </row>
    <row r="33" spans="1:10">
      <c r="A33" s="97"/>
      <c r="B33" s="97"/>
      <c r="C33" s="109"/>
      <c r="D33" s="136"/>
      <c r="E33" s="136"/>
      <c r="F33" s="136"/>
      <c r="G33" s="136"/>
      <c r="H33" s="136"/>
      <c r="I33" s="136"/>
      <c r="J33" s="97"/>
    </row>
    <row r="34" spans="1:10">
      <c r="A34" s="97"/>
      <c r="B34" s="97"/>
      <c r="C34" s="207"/>
      <c r="D34" s="136"/>
      <c r="E34" s="136"/>
      <c r="F34" s="136"/>
      <c r="G34" s="136"/>
      <c r="H34" s="136"/>
      <c r="I34" s="136"/>
      <c r="J34" s="97"/>
    </row>
    <row r="35" spans="1:10">
      <c r="A35" s="97"/>
      <c r="B35" s="97"/>
      <c r="C35" s="109"/>
      <c r="D35" s="136"/>
      <c r="E35" s="136"/>
      <c r="F35" s="136"/>
      <c r="G35" s="136"/>
      <c r="H35" s="136"/>
      <c r="I35" s="136"/>
      <c r="J35" s="97"/>
    </row>
    <row r="36" spans="1:10">
      <c r="A36" s="97"/>
      <c r="B36" s="97"/>
      <c r="C36" s="109"/>
      <c r="D36" s="136"/>
      <c r="E36" s="136"/>
      <c r="F36" s="136"/>
      <c r="G36" s="136"/>
      <c r="H36" s="136"/>
      <c r="I36" s="136"/>
      <c r="J36" s="97"/>
    </row>
    <row r="37" spans="1:10">
      <c r="A37" s="97"/>
      <c r="B37" s="97"/>
      <c r="C37" s="109"/>
      <c r="D37" s="136"/>
      <c r="E37" s="136"/>
      <c r="F37" s="136"/>
      <c r="G37" s="136"/>
      <c r="H37" s="136"/>
      <c r="I37" s="136"/>
      <c r="J37" s="97"/>
    </row>
    <row r="38" spans="1:10">
      <c r="A38" s="97"/>
      <c r="B38" s="29"/>
      <c r="C38" s="29"/>
      <c r="D38" s="138"/>
      <c r="E38" s="138"/>
      <c r="F38" s="138"/>
      <c r="G38" s="138"/>
      <c r="H38" s="138"/>
      <c r="I38" s="138"/>
      <c r="J38" s="97"/>
    </row>
    <row r="39" spans="1:10">
      <c r="A39" s="29"/>
      <c r="B39" s="29"/>
      <c r="C39" s="114"/>
      <c r="D39" s="136"/>
      <c r="E39" s="136"/>
      <c r="F39" s="136"/>
      <c r="G39" s="136"/>
      <c r="H39" s="136"/>
      <c r="I39" s="136"/>
      <c r="J39" s="97"/>
    </row>
    <row r="40" spans="1:10">
      <c r="A40" s="97"/>
      <c r="B40" s="97"/>
      <c r="C40" s="109"/>
      <c r="D40" s="136"/>
      <c r="E40" s="136"/>
      <c r="F40" s="136"/>
      <c r="G40" s="136"/>
      <c r="H40" s="136"/>
      <c r="I40" s="136"/>
      <c r="J40" s="97"/>
    </row>
    <row r="41" spans="1:10">
      <c r="A41" s="97"/>
      <c r="B41" s="97"/>
      <c r="C41" s="109"/>
      <c r="D41" s="136"/>
      <c r="E41" s="136"/>
      <c r="F41" s="136"/>
      <c r="G41" s="136"/>
      <c r="H41" s="136"/>
      <c r="I41" s="136"/>
      <c r="J41" s="97"/>
    </row>
    <row r="42" spans="1:10">
      <c r="A42" s="97"/>
      <c r="B42" s="97"/>
      <c r="C42" s="109"/>
      <c r="D42" s="136"/>
      <c r="E42" s="136"/>
      <c r="F42" s="136"/>
      <c r="G42" s="136"/>
      <c r="H42" s="136"/>
      <c r="I42" s="136"/>
      <c r="J42" s="97"/>
    </row>
    <row r="43" spans="1:10">
      <c r="A43" s="97"/>
      <c r="B43" s="97"/>
      <c r="C43" s="109"/>
      <c r="D43" s="136"/>
      <c r="E43" s="136"/>
      <c r="F43" s="136"/>
      <c r="G43" s="136"/>
      <c r="H43" s="136"/>
      <c r="I43" s="136"/>
      <c r="J43" s="97"/>
    </row>
    <row r="44" spans="1:10">
      <c r="A44" s="97"/>
      <c r="B44" s="29"/>
      <c r="C44" s="29"/>
      <c r="D44" s="138"/>
      <c r="E44" s="138"/>
      <c r="F44" s="138"/>
      <c r="G44" s="138"/>
      <c r="H44" s="138"/>
      <c r="I44" s="138"/>
      <c r="J44" s="97"/>
    </row>
    <row r="45" spans="1:10">
      <c r="A45" s="29"/>
      <c r="B45" s="97"/>
      <c r="C45" s="29"/>
      <c r="D45" s="138"/>
      <c r="E45" s="138"/>
      <c r="F45" s="138"/>
      <c r="G45" s="138"/>
      <c r="H45" s="138"/>
      <c r="I45" s="138"/>
      <c r="J45" s="97"/>
    </row>
  </sheetData>
  <mergeCells count="5">
    <mergeCell ref="A4:I4"/>
    <mergeCell ref="A5:I5"/>
    <mergeCell ref="A6:I6"/>
    <mergeCell ref="A3:I3"/>
    <mergeCell ref="A8:C8"/>
  </mergeCells>
  <hyperlinks>
    <hyperlink ref="C1" location="Indice!A1" display="Cuadro 4.3 Gasto ambiental de la administración central del gobierno como porcentaje del PIB 24/434."/>
  </hyperlinks>
  <pageMargins left="0.7" right="0.7" top="0.75" bottom="0.75" header="0.3" footer="0.3"/>
  <pageSetup paperSize="9" scale="75" orientation="portrait" r:id="rId1"/>
</worksheet>
</file>

<file path=xl/worksheets/sheet28.xml><?xml version="1.0" encoding="utf-8"?>
<worksheet xmlns="http://schemas.openxmlformats.org/spreadsheetml/2006/main" xmlns:r="http://schemas.openxmlformats.org/officeDocument/2006/relationships">
  <sheetPr>
    <tabColor theme="3" tint="0.39997558519241921"/>
    <pageSetUpPr fitToPage="1"/>
  </sheetPr>
  <dimension ref="A1:T27"/>
  <sheetViews>
    <sheetView showGridLines="0" topLeftCell="A3" workbookViewId="0">
      <selection activeCell="A3" sqref="A3:T3"/>
    </sheetView>
  </sheetViews>
  <sheetFormatPr baseColWidth="10" defaultRowHeight="12.75"/>
  <cols>
    <col min="1" max="1" width="0.5" style="330" customWidth="1"/>
    <col min="2" max="2" width="55" customWidth="1"/>
    <col min="3" max="3" width="8.5" customWidth="1"/>
    <col min="4" max="4" width="8.6640625" customWidth="1"/>
    <col min="5" max="5" width="7" customWidth="1"/>
    <col min="6" max="6" width="9.5" customWidth="1"/>
    <col min="7" max="7" width="7.83203125" customWidth="1"/>
    <col min="8" max="8" width="8.1640625" customWidth="1"/>
    <col min="9" max="9" width="9.1640625" customWidth="1"/>
    <col min="10" max="10" width="8.33203125" customWidth="1"/>
    <col min="11" max="11" width="8.1640625" customWidth="1"/>
    <col min="12" max="12" width="8.6640625" customWidth="1"/>
    <col min="13" max="13" width="7.83203125" customWidth="1"/>
    <col min="14" max="14" width="7.1640625" customWidth="1"/>
    <col min="15" max="15" width="9" customWidth="1"/>
    <col min="16" max="16" width="8" customWidth="1"/>
    <col min="17" max="17" width="7.1640625" customWidth="1"/>
    <col min="18" max="18" width="9.5" customWidth="1"/>
    <col min="19" max="19" width="7.83203125" customWidth="1"/>
    <col min="20" max="20" width="8.33203125" customWidth="1"/>
  </cols>
  <sheetData>
    <row r="1" spans="1:20" hidden="1">
      <c r="B1" s="396" t="s">
        <v>315</v>
      </c>
      <c r="E1" s="149"/>
      <c r="F1" s="149"/>
      <c r="G1" s="149"/>
      <c r="H1" s="149"/>
      <c r="I1" s="330"/>
      <c r="J1" s="330"/>
      <c r="K1" s="330"/>
      <c r="L1" s="330"/>
      <c r="M1" s="330"/>
      <c r="N1" s="330"/>
      <c r="O1" s="330"/>
      <c r="P1" s="330"/>
      <c r="Q1" s="330"/>
      <c r="R1" s="330"/>
      <c r="S1" s="330"/>
      <c r="T1" s="330"/>
    </row>
    <row r="2" spans="1:20" hidden="1"/>
    <row r="3" spans="1:20">
      <c r="A3" s="550" t="s">
        <v>192</v>
      </c>
      <c r="B3" s="550"/>
      <c r="C3" s="550"/>
      <c r="D3" s="550"/>
      <c r="E3" s="550"/>
      <c r="F3" s="550"/>
      <c r="G3" s="550"/>
      <c r="H3" s="550"/>
      <c r="I3" s="550"/>
      <c r="J3" s="550"/>
      <c r="K3" s="550"/>
      <c r="L3" s="550"/>
      <c r="M3" s="550"/>
      <c r="N3" s="550"/>
      <c r="O3" s="550"/>
      <c r="P3" s="550"/>
      <c r="Q3" s="550"/>
      <c r="R3" s="550"/>
      <c r="S3" s="550"/>
      <c r="T3" s="550"/>
    </row>
    <row r="4" spans="1:20" ht="27" customHeight="1">
      <c r="A4" s="545" t="s">
        <v>316</v>
      </c>
      <c r="B4" s="545"/>
      <c r="C4" s="545"/>
      <c r="D4" s="545"/>
      <c r="E4" s="545"/>
      <c r="F4" s="545"/>
      <c r="G4" s="545"/>
      <c r="H4" s="545"/>
      <c r="I4" s="545"/>
      <c r="J4" s="545"/>
      <c r="K4" s="545"/>
      <c r="L4" s="545"/>
      <c r="M4" s="545"/>
      <c r="N4" s="545"/>
      <c r="O4" s="545"/>
      <c r="P4" s="545"/>
      <c r="Q4" s="545"/>
      <c r="R4" s="545"/>
      <c r="S4" s="545"/>
      <c r="T4" s="545"/>
    </row>
    <row r="5" spans="1:20">
      <c r="A5" s="546" t="s">
        <v>17</v>
      </c>
      <c r="B5" s="546"/>
      <c r="C5" s="546"/>
      <c r="D5" s="546"/>
      <c r="E5" s="546"/>
      <c r="F5" s="546"/>
      <c r="G5" s="546"/>
      <c r="H5" s="546"/>
      <c r="I5" s="546"/>
      <c r="J5" s="546"/>
      <c r="K5" s="546"/>
      <c r="L5" s="546"/>
      <c r="M5" s="546"/>
      <c r="N5" s="546"/>
      <c r="O5" s="546"/>
      <c r="P5" s="546"/>
      <c r="Q5" s="546"/>
      <c r="R5" s="546"/>
      <c r="S5" s="546"/>
      <c r="T5" s="546"/>
    </row>
    <row r="6" spans="1:20">
      <c r="A6" s="550" t="s">
        <v>246</v>
      </c>
      <c r="B6" s="550"/>
      <c r="C6" s="550"/>
      <c r="D6" s="550"/>
      <c r="E6" s="550"/>
      <c r="F6" s="550"/>
      <c r="G6" s="550"/>
      <c r="H6" s="550"/>
      <c r="I6" s="550"/>
      <c r="J6" s="550"/>
      <c r="K6" s="550"/>
      <c r="L6" s="550"/>
      <c r="M6" s="550"/>
      <c r="N6" s="550"/>
      <c r="O6" s="550"/>
      <c r="P6" s="550"/>
      <c r="Q6" s="550"/>
      <c r="R6" s="550"/>
      <c r="S6" s="550"/>
      <c r="T6" s="550"/>
    </row>
    <row r="7" spans="1:20" s="529" customFormat="1">
      <c r="A7" s="551" t="s">
        <v>29</v>
      </c>
      <c r="B7" s="551"/>
      <c r="C7" s="551"/>
      <c r="D7" s="551"/>
      <c r="E7" s="551"/>
      <c r="F7" s="551"/>
      <c r="G7" s="551"/>
      <c r="H7" s="551"/>
      <c r="I7" s="551"/>
      <c r="J7" s="551"/>
      <c r="K7" s="551"/>
      <c r="L7" s="551"/>
      <c r="M7" s="551"/>
      <c r="N7" s="551"/>
      <c r="O7" s="551"/>
      <c r="P7" s="551"/>
      <c r="Q7" s="551"/>
      <c r="R7" s="551"/>
      <c r="S7" s="551"/>
      <c r="T7" s="551"/>
    </row>
    <row r="9" spans="1:20">
      <c r="A9" s="329"/>
      <c r="B9" s="600" t="s">
        <v>153</v>
      </c>
      <c r="C9" s="726"/>
      <c r="D9" s="726"/>
      <c r="E9" s="726"/>
      <c r="F9" s="726"/>
      <c r="G9" s="726"/>
      <c r="H9" s="726"/>
      <c r="I9" s="726"/>
      <c r="J9" s="726"/>
      <c r="K9" s="727" t="s">
        <v>34</v>
      </c>
      <c r="L9" s="728"/>
      <c r="M9" s="726"/>
      <c r="N9" s="726"/>
      <c r="O9" s="726"/>
      <c r="P9" s="726"/>
      <c r="Q9" s="726"/>
      <c r="R9" s="726"/>
      <c r="S9" s="726"/>
      <c r="T9" s="726"/>
    </row>
    <row r="10" spans="1:20">
      <c r="B10" s="725"/>
      <c r="C10" s="620">
        <v>2001</v>
      </c>
      <c r="D10" s="621"/>
      <c r="E10" s="620"/>
      <c r="F10" s="622">
        <v>2002</v>
      </c>
      <c r="G10" s="621"/>
      <c r="H10" s="622"/>
      <c r="I10" s="620">
        <v>2003</v>
      </c>
      <c r="J10" s="620"/>
      <c r="K10" s="620"/>
      <c r="L10" s="622">
        <v>2004</v>
      </c>
      <c r="M10" s="622"/>
      <c r="N10" s="622"/>
      <c r="O10" s="620">
        <v>2005</v>
      </c>
      <c r="P10" s="620"/>
      <c r="Q10" s="620"/>
      <c r="R10" s="622">
        <v>2006</v>
      </c>
      <c r="S10" s="622"/>
      <c r="T10" s="622"/>
    </row>
    <row r="11" spans="1:20" ht="13.5">
      <c r="A11" s="294" t="s">
        <v>211</v>
      </c>
      <c r="B11" s="676"/>
      <c r="C11" s="629" t="s">
        <v>205</v>
      </c>
      <c r="D11" s="629" t="s">
        <v>0</v>
      </c>
      <c r="E11" s="629" t="s">
        <v>559</v>
      </c>
      <c r="F11" s="627" t="s">
        <v>205</v>
      </c>
      <c r="G11" s="627" t="s">
        <v>0</v>
      </c>
      <c r="H11" s="627" t="s">
        <v>559</v>
      </c>
      <c r="I11" s="629" t="s">
        <v>205</v>
      </c>
      <c r="J11" s="629" t="s">
        <v>0</v>
      </c>
      <c r="K11" s="629" t="s">
        <v>559</v>
      </c>
      <c r="L11" s="627" t="s">
        <v>205</v>
      </c>
      <c r="M11" s="627" t="s">
        <v>0</v>
      </c>
      <c r="N11" s="627" t="s">
        <v>559</v>
      </c>
      <c r="O11" s="629" t="s">
        <v>205</v>
      </c>
      <c r="P11" s="629" t="s">
        <v>0</v>
      </c>
      <c r="Q11" s="629" t="s">
        <v>559</v>
      </c>
      <c r="R11" s="627" t="s">
        <v>205</v>
      </c>
      <c r="S11" s="627" t="s">
        <v>0</v>
      </c>
      <c r="T11" s="627" t="s">
        <v>559</v>
      </c>
    </row>
    <row r="12" spans="1:20" ht="15">
      <c r="A12" s="304" t="s">
        <v>241</v>
      </c>
      <c r="C12" s="349">
        <v>0.12111918293783142</v>
      </c>
      <c r="D12" s="349">
        <v>5.5329871851395256E-2</v>
      </c>
      <c r="E12" s="349">
        <v>0.17644905478922668</v>
      </c>
      <c r="F12" s="349">
        <v>0.10097128069717698</v>
      </c>
      <c r="G12" s="349">
        <v>6.6412184253212797E-2</v>
      </c>
      <c r="H12" s="349">
        <v>0.16738346495038978</v>
      </c>
      <c r="I12" s="349">
        <v>7.0328953410917466E-2</v>
      </c>
      <c r="J12" s="349">
        <v>4.0856468647888666E-2</v>
      </c>
      <c r="K12" s="349">
        <v>0.11118542205880613</v>
      </c>
      <c r="L12" s="349">
        <v>6.2028369256264843E-2</v>
      </c>
      <c r="M12" s="349">
        <v>3.5231051889806811E-2</v>
      </c>
      <c r="N12" s="349">
        <v>9.7259421146071667E-2</v>
      </c>
      <c r="O12" s="349">
        <v>5.6442352623482142E-2</v>
      </c>
      <c r="P12" s="349">
        <v>5.9463435978335234E-2</v>
      </c>
      <c r="Q12" s="349">
        <v>0.1159057886018174</v>
      </c>
      <c r="R12" s="349">
        <v>5.2943030194125301E-2</v>
      </c>
      <c r="S12" s="349">
        <v>5.6575350834790525E-2</v>
      </c>
      <c r="T12" s="349">
        <v>0.10951838102891585</v>
      </c>
    </row>
    <row r="13" spans="1:20">
      <c r="B13" s="821" t="s">
        <v>161</v>
      </c>
      <c r="C13" s="350">
        <v>7.0571882284263348E-4</v>
      </c>
      <c r="D13" s="350">
        <v>5.5487971652861869E-3</v>
      </c>
      <c r="E13" s="351">
        <v>6.2545159881288196E-3</v>
      </c>
      <c r="F13" s="351">
        <v>1.3986651635500792E-3</v>
      </c>
      <c r="G13" s="351">
        <v>3.7429184501817773E-3</v>
      </c>
      <c r="H13" s="351">
        <v>5.1415836137318561E-3</v>
      </c>
      <c r="I13" s="351">
        <v>7.1175006794255017E-4</v>
      </c>
      <c r="J13" s="351">
        <v>0</v>
      </c>
      <c r="K13" s="351">
        <v>7.1175006794255017E-4</v>
      </c>
      <c r="L13" s="351">
        <v>1.8747994776310237E-5</v>
      </c>
      <c r="M13" s="351">
        <v>4.9753176983208887E-5</v>
      </c>
      <c r="N13" s="351">
        <v>6.8501171759519138E-5</v>
      </c>
      <c r="O13" s="351">
        <v>1.045041734684004E-4</v>
      </c>
      <c r="P13" s="351">
        <v>2.1870934713465484E-3</v>
      </c>
      <c r="Q13" s="351">
        <v>2.2915976448149491E-3</v>
      </c>
      <c r="R13" s="351">
        <v>3.021228518931534E-4</v>
      </c>
      <c r="S13" s="351">
        <v>5.0509416492883403E-4</v>
      </c>
      <c r="T13" s="351">
        <v>8.0721701682198743E-4</v>
      </c>
    </row>
    <row r="14" spans="1:20" ht="25.5">
      <c r="B14" s="359" t="s">
        <v>239</v>
      </c>
      <c r="C14" s="350">
        <v>0</v>
      </c>
      <c r="D14" s="350">
        <v>0</v>
      </c>
      <c r="E14" s="351">
        <v>0</v>
      </c>
      <c r="F14" s="351">
        <v>1.2307177299657615E-3</v>
      </c>
      <c r="G14" s="351">
        <v>0</v>
      </c>
      <c r="H14" s="351">
        <v>1.2307177299657615E-3</v>
      </c>
      <c r="I14" s="351">
        <v>0</v>
      </c>
      <c r="J14" s="351">
        <v>0</v>
      </c>
      <c r="K14" s="351">
        <v>0</v>
      </c>
      <c r="L14" s="351">
        <v>0</v>
      </c>
      <c r="M14" s="351">
        <v>0</v>
      </c>
      <c r="N14" s="351">
        <v>0</v>
      </c>
      <c r="O14" s="351">
        <v>0</v>
      </c>
      <c r="P14" s="351">
        <v>0</v>
      </c>
      <c r="Q14" s="351">
        <v>0</v>
      </c>
      <c r="R14" s="351">
        <v>0</v>
      </c>
      <c r="S14" s="351">
        <v>0</v>
      </c>
      <c r="T14" s="351">
        <v>0</v>
      </c>
    </row>
    <row r="15" spans="1:20">
      <c r="B15" s="358" t="s">
        <v>9</v>
      </c>
      <c r="C15" s="350">
        <v>7.7416742841435918E-2</v>
      </c>
      <c r="D15" s="350">
        <v>2.6015271959438774E-2</v>
      </c>
      <c r="E15" s="351">
        <v>0.1034320148008747</v>
      </c>
      <c r="F15" s="351">
        <v>5.8279548412743347E-2</v>
      </c>
      <c r="G15" s="351">
        <v>5.6906658945964118E-2</v>
      </c>
      <c r="H15" s="351">
        <v>0.11518620735870747</v>
      </c>
      <c r="I15" s="351">
        <v>4.0640416999743516E-2</v>
      </c>
      <c r="J15" s="351">
        <v>3.8560451144278945E-2</v>
      </c>
      <c r="K15" s="351">
        <v>7.9200868144022468E-2</v>
      </c>
      <c r="L15" s="351">
        <v>3.857538218578966E-2</v>
      </c>
      <c r="M15" s="351">
        <v>2.6955212547147372E-2</v>
      </c>
      <c r="N15" s="351">
        <v>6.5530594732937028E-2</v>
      </c>
      <c r="O15" s="351">
        <v>3.1149350220407462E-2</v>
      </c>
      <c r="P15" s="351">
        <v>3.6294995188440329E-2</v>
      </c>
      <c r="Q15" s="351">
        <v>6.7444345408847806E-2</v>
      </c>
      <c r="R15" s="351">
        <v>3.0410110470026255E-2</v>
      </c>
      <c r="S15" s="351">
        <v>4.4031071363462911E-2</v>
      </c>
      <c r="T15" s="351">
        <v>7.4441181833489162E-2</v>
      </c>
    </row>
    <row r="16" spans="1:20">
      <c r="B16" s="358" t="s">
        <v>10</v>
      </c>
      <c r="C16" s="350">
        <v>5.8197761838862747E-3</v>
      </c>
      <c r="D16" s="350">
        <v>0</v>
      </c>
      <c r="E16" s="351">
        <v>5.8197761838862747E-3</v>
      </c>
      <c r="F16" s="351">
        <v>5.3572502812190012E-3</v>
      </c>
      <c r="G16" s="351">
        <v>0</v>
      </c>
      <c r="H16" s="351">
        <v>5.3572502812190012E-3</v>
      </c>
      <c r="I16" s="351">
        <v>5.093972734496602E-3</v>
      </c>
      <c r="J16" s="351">
        <v>0</v>
      </c>
      <c r="K16" s="351">
        <v>5.093972734496602E-3</v>
      </c>
      <c r="L16" s="351">
        <v>3.5806199902226467E-3</v>
      </c>
      <c r="M16" s="351">
        <v>6.9925105059281105E-5</v>
      </c>
      <c r="N16" s="351">
        <v>3.6505450952819284E-3</v>
      </c>
      <c r="O16" s="351">
        <v>3.4802927180570447E-3</v>
      </c>
      <c r="P16" s="351">
        <v>7.3604991890873156E-5</v>
      </c>
      <c r="Q16" s="351">
        <v>3.5538977099479176E-3</v>
      </c>
      <c r="R16" s="351">
        <v>4.429314476707533E-3</v>
      </c>
      <c r="S16" s="351">
        <v>3.0407507784895405E-5</v>
      </c>
      <c r="T16" s="351">
        <v>4.4597219844924275E-3</v>
      </c>
    </row>
    <row r="17" spans="1:20" ht="13.5">
      <c r="A17" s="294" t="s">
        <v>212</v>
      </c>
      <c r="B17" s="360" t="s">
        <v>235</v>
      </c>
      <c r="C17" s="350">
        <v>3.7176945089666603E-2</v>
      </c>
      <c r="D17" s="350">
        <v>2.3765802726670286E-2</v>
      </c>
      <c r="E17" s="351">
        <v>6.0942747816336899E-2</v>
      </c>
      <c r="F17" s="351">
        <v>3.4688176740911771E-2</v>
      </c>
      <c r="G17" s="351">
        <v>5.7626068570669044E-3</v>
      </c>
      <c r="H17" s="351">
        <v>4.0450783597978671E-2</v>
      </c>
      <c r="I17" s="351">
        <v>2.3882813608734798E-2</v>
      </c>
      <c r="J17" s="351">
        <v>2.2960175036097173E-3</v>
      </c>
      <c r="K17" s="351">
        <v>2.6178831112344515E-2</v>
      </c>
      <c r="L17" s="351">
        <v>1.9853619085476223E-2</v>
      </c>
      <c r="M17" s="351">
        <v>8.1561610606169597E-3</v>
      </c>
      <c r="N17" s="351">
        <v>2.8009780146093184E-2</v>
      </c>
      <c r="O17" s="351">
        <v>2.1708205511549238E-2</v>
      </c>
      <c r="P17" s="351">
        <v>2.0907742326657486E-2</v>
      </c>
      <c r="Q17" s="351">
        <v>4.2615947838206734E-2</v>
      </c>
      <c r="R17" s="351">
        <v>1.780148239549836E-2</v>
      </c>
      <c r="S17" s="351">
        <v>1.2008777798613883E-2</v>
      </c>
      <c r="T17" s="351">
        <v>2.9810260194112238E-2</v>
      </c>
    </row>
    <row r="18" spans="1:20" ht="15">
      <c r="A18" s="304" t="s">
        <v>212</v>
      </c>
      <c r="C18" s="349">
        <v>3.1246023038853488E-2</v>
      </c>
      <c r="D18" s="349">
        <v>0.20941867124831104</v>
      </c>
      <c r="E18" s="349">
        <v>0.24066469428716447</v>
      </c>
      <c r="F18" s="349">
        <v>3.4821001336559458E-2</v>
      </c>
      <c r="G18" s="349">
        <v>0.20915811444198029</v>
      </c>
      <c r="H18" s="349">
        <v>0.24397911577853978</v>
      </c>
      <c r="I18" s="349">
        <v>4.6390236330878451E-2</v>
      </c>
      <c r="J18" s="349">
        <v>0.11075746467870673</v>
      </c>
      <c r="K18" s="349">
        <v>0.15714770100958519</v>
      </c>
      <c r="L18" s="349">
        <v>2.967059503224373E-2</v>
      </c>
      <c r="M18" s="349">
        <v>8.7760284026315874E-2</v>
      </c>
      <c r="N18" s="349">
        <v>0.11743087905855962</v>
      </c>
      <c r="O18" s="349">
        <v>1.794680286662087E-2</v>
      </c>
      <c r="P18" s="349">
        <v>9.8366051478633934E-2</v>
      </c>
      <c r="Q18" s="349">
        <v>0.11631285434525482</v>
      </c>
      <c r="R18" s="349">
        <v>1.9252289300940972E-2</v>
      </c>
      <c r="S18" s="349">
        <v>7.6245243336447138E-2</v>
      </c>
      <c r="T18" s="349">
        <v>9.5497532637388111E-2</v>
      </c>
    </row>
    <row r="19" spans="1:20">
      <c r="B19" s="529" t="s">
        <v>12</v>
      </c>
      <c r="C19" s="350">
        <v>1.1576844258112451E-2</v>
      </c>
      <c r="D19" s="350">
        <v>0</v>
      </c>
      <c r="E19" s="350">
        <v>1.1576844258112451E-2</v>
      </c>
      <c r="F19" s="351">
        <v>1.0317346104901457E-2</v>
      </c>
      <c r="G19" s="351">
        <v>0</v>
      </c>
      <c r="H19" s="351">
        <v>1.0317346104901457E-2</v>
      </c>
      <c r="I19" s="351">
        <v>7.5587848137339897E-3</v>
      </c>
      <c r="J19" s="351">
        <v>0</v>
      </c>
      <c r="K19" s="351">
        <v>7.5587848137339897E-3</v>
      </c>
      <c r="L19" s="351">
        <v>1.7895338796818528E-3</v>
      </c>
      <c r="M19" s="351">
        <v>0</v>
      </c>
      <c r="N19" s="351">
        <v>1.7895338796818528E-3</v>
      </c>
      <c r="O19" s="351">
        <v>1.3869658964159536E-3</v>
      </c>
      <c r="P19" s="351">
        <v>2.9188042684479624E-5</v>
      </c>
      <c r="Q19" s="351">
        <v>1.4161539391004333E-3</v>
      </c>
      <c r="R19" s="351">
        <v>7.5754619052446502E-4</v>
      </c>
      <c r="S19" s="351">
        <v>1.9144077018362213E-5</v>
      </c>
      <c r="T19" s="351">
        <v>7.7669026754282721E-4</v>
      </c>
    </row>
    <row r="20" spans="1:20">
      <c r="B20" s="358" t="s">
        <v>13</v>
      </c>
      <c r="C20" s="350">
        <v>5.6348305662487809E-3</v>
      </c>
      <c r="D20" s="350">
        <v>0.17996563426585513</v>
      </c>
      <c r="E20" s="350">
        <v>0.18560046483210388</v>
      </c>
      <c r="F20" s="351">
        <v>4.3257728291985322E-3</v>
      </c>
      <c r="G20" s="351">
        <v>0.12441991781267001</v>
      </c>
      <c r="H20" s="351">
        <v>0.12874569064186853</v>
      </c>
      <c r="I20" s="351">
        <v>2.2307365202267698E-2</v>
      </c>
      <c r="J20" s="351">
        <v>3.9468578366057799E-2</v>
      </c>
      <c r="K20" s="351">
        <v>6.1775943568325505E-2</v>
      </c>
      <c r="L20" s="351">
        <v>3.7000947121955926E-3</v>
      </c>
      <c r="M20" s="351">
        <v>2.967006107432206E-2</v>
      </c>
      <c r="N20" s="351">
        <v>3.3370155786517655E-2</v>
      </c>
      <c r="O20" s="351">
        <v>4.19298924704266E-3</v>
      </c>
      <c r="P20" s="351">
        <v>3.4573522172408368E-2</v>
      </c>
      <c r="Q20" s="351">
        <v>3.8766511419451019E-2</v>
      </c>
      <c r="R20" s="351">
        <v>4.0798772386061201E-3</v>
      </c>
      <c r="S20" s="351">
        <v>1.0802946238645713E-2</v>
      </c>
      <c r="T20" s="351">
        <v>1.4882823477251828E-2</v>
      </c>
    </row>
    <row r="21" spans="1:20">
      <c r="B21" s="358" t="s">
        <v>14</v>
      </c>
      <c r="C21" s="350">
        <v>9.2567409840125514E-3</v>
      </c>
      <c r="D21" s="350">
        <v>2.9453036982455855E-2</v>
      </c>
      <c r="E21" s="350">
        <v>3.8709777966468406E-2</v>
      </c>
      <c r="F21" s="351">
        <v>2.0177882402459466E-2</v>
      </c>
      <c r="G21" s="351">
        <v>8.4738196629310286E-2</v>
      </c>
      <c r="H21" s="351">
        <v>0.10491607903176975</v>
      </c>
      <c r="I21" s="351">
        <v>1.3076684190932315E-2</v>
      </c>
      <c r="J21" s="351">
        <v>7.1288886312648944E-2</v>
      </c>
      <c r="K21" s="351">
        <v>8.4365570503581247E-2</v>
      </c>
      <c r="L21" s="351">
        <v>2.2703422057644369E-2</v>
      </c>
      <c r="M21" s="351">
        <v>5.8090222951993821E-2</v>
      </c>
      <c r="N21" s="351">
        <v>8.079364500963819E-2</v>
      </c>
      <c r="O21" s="351">
        <v>1.1092575813957518E-2</v>
      </c>
      <c r="P21" s="351">
        <v>6.3763341263541079E-2</v>
      </c>
      <c r="Q21" s="351">
        <v>7.4855917077498599E-2</v>
      </c>
      <c r="R21" s="351">
        <v>1.2661001905270756E-2</v>
      </c>
      <c r="S21" s="351">
        <v>6.5423153020783081E-2</v>
      </c>
      <c r="T21" s="351">
        <v>7.8084154926053834E-2</v>
      </c>
    </row>
    <row r="22" spans="1:20" ht="13.5">
      <c r="A22" s="302" t="s">
        <v>252</v>
      </c>
      <c r="B22" s="360" t="s">
        <v>236</v>
      </c>
      <c r="C22" s="350">
        <v>4.7776072304797053E-3</v>
      </c>
      <c r="D22" s="350">
        <v>0</v>
      </c>
      <c r="E22" s="350">
        <v>4.7776072304797053E-3</v>
      </c>
      <c r="F22" s="351">
        <v>0</v>
      </c>
      <c r="G22" s="351">
        <v>0</v>
      </c>
      <c r="H22" s="351">
        <v>0</v>
      </c>
      <c r="I22" s="351">
        <v>3.4474021239444485E-3</v>
      </c>
      <c r="J22" s="351">
        <v>0</v>
      </c>
      <c r="K22" s="351">
        <v>3.4474021239444485E-3</v>
      </c>
      <c r="L22" s="351">
        <v>1.4775443827219161E-3</v>
      </c>
      <c r="M22" s="351">
        <v>0</v>
      </c>
      <c r="N22" s="351">
        <v>1.4775443827219161E-3</v>
      </c>
      <c r="O22" s="351">
        <v>1.2742719092047375E-3</v>
      </c>
      <c r="P22" s="351">
        <v>0</v>
      </c>
      <c r="Q22" s="351">
        <v>1.2742719092047375E-3</v>
      </c>
      <c r="R22" s="351">
        <v>1.753863966539634E-3</v>
      </c>
      <c r="S22" s="351">
        <v>0</v>
      </c>
      <c r="T22" s="351">
        <v>1.753863966539634E-3</v>
      </c>
    </row>
    <row r="23" spans="1:20" ht="15">
      <c r="A23" s="845" t="s">
        <v>252</v>
      </c>
      <c r="B23" s="528"/>
      <c r="C23" s="352">
        <v>0.1523652059766849</v>
      </c>
      <c r="D23" s="352">
        <v>0.26474854309970625</v>
      </c>
      <c r="E23" s="352">
        <v>0.4171137490763912</v>
      </c>
      <c r="F23" s="352">
        <v>0.13579228203373644</v>
      </c>
      <c r="G23" s="352">
        <v>0.27557029869519306</v>
      </c>
      <c r="H23" s="352">
        <v>0.41136258072892956</v>
      </c>
      <c r="I23" s="352">
        <v>0.11671918974179593</v>
      </c>
      <c r="J23" s="352">
        <v>0.15161393332659542</v>
      </c>
      <c r="K23" s="352">
        <v>0.2683331230683913</v>
      </c>
      <c r="L23" s="352">
        <v>9.1698964288508572E-2</v>
      </c>
      <c r="M23" s="352">
        <v>0.1229913359161227</v>
      </c>
      <c r="N23" s="352">
        <v>0.21469030020463131</v>
      </c>
      <c r="O23" s="352">
        <v>7.4389155490103026E-2</v>
      </c>
      <c r="P23" s="352">
        <v>0.15782948745696918</v>
      </c>
      <c r="Q23" s="352">
        <v>0.2322186429470722</v>
      </c>
      <c r="R23" s="352">
        <v>7.2195319495066274E-2</v>
      </c>
      <c r="S23" s="352">
        <v>0.13282059417123768</v>
      </c>
      <c r="T23" s="352">
        <v>0.20501591366630401</v>
      </c>
    </row>
    <row r="24" spans="1:20">
      <c r="A24" s="270" t="s">
        <v>240</v>
      </c>
    </row>
    <row r="25" spans="1:20">
      <c r="A25" s="270" t="s">
        <v>214</v>
      </c>
    </row>
    <row r="27" spans="1:20">
      <c r="A27" s="40" t="s">
        <v>170</v>
      </c>
    </row>
  </sheetData>
  <mergeCells count="12">
    <mergeCell ref="O10:Q10"/>
    <mergeCell ref="R10:T10"/>
    <mergeCell ref="B9:B11"/>
    <mergeCell ref="C10:E10"/>
    <mergeCell ref="F10:H10"/>
    <mergeCell ref="I10:K10"/>
    <mergeCell ref="L10:N10"/>
    <mergeCell ref="A4:T4"/>
    <mergeCell ref="A5:T5"/>
    <mergeCell ref="A3:T3"/>
    <mergeCell ref="A6:T6"/>
    <mergeCell ref="A7:T7"/>
  </mergeCells>
  <hyperlinks>
    <hyperlink ref="B1" location="Indice!A1" display="Cuadro 25. Gasto ambiental de la administración central del gobierno como porcentaje del PIB, por CAPA y CGRN, según clasificación económica, precios corrientes, sin agua y saneamiento "/>
  </hyperlinks>
  <pageMargins left="0.7" right="0.7" top="0.75" bottom="0.75" header="0.3" footer="0.3"/>
  <pageSetup scale="54" orientation="portrait" r:id="rId1"/>
</worksheet>
</file>

<file path=xl/worksheets/sheet29.xml><?xml version="1.0" encoding="utf-8"?>
<worksheet xmlns="http://schemas.openxmlformats.org/spreadsheetml/2006/main" xmlns:r="http://schemas.openxmlformats.org/officeDocument/2006/relationships">
  <sheetPr>
    <tabColor theme="3" tint="0.39997558519241921"/>
    <pageSetUpPr fitToPage="1"/>
  </sheetPr>
  <dimension ref="A1:T28"/>
  <sheetViews>
    <sheetView showGridLines="0" topLeftCell="A2" workbookViewId="0">
      <selection activeCell="A2" sqref="A2:I2"/>
    </sheetView>
  </sheetViews>
  <sheetFormatPr baseColWidth="10" defaultRowHeight="12.75"/>
  <cols>
    <col min="1" max="2" width="1.33203125" customWidth="1"/>
    <col min="3" max="3" width="48.33203125" customWidth="1"/>
    <col min="4" max="4" width="12.6640625" customWidth="1"/>
    <col min="5" max="6" width="13" customWidth="1"/>
    <col min="7" max="9" width="12.83203125" customWidth="1"/>
  </cols>
  <sheetData>
    <row r="1" spans="1:20" hidden="1">
      <c r="A1" s="44"/>
      <c r="B1" s="44"/>
      <c r="C1" s="8" t="s">
        <v>317</v>
      </c>
      <c r="D1" s="149"/>
      <c r="E1" s="149"/>
      <c r="F1" s="149"/>
      <c r="G1" s="149"/>
      <c r="H1" s="101"/>
      <c r="I1" s="149"/>
      <c r="J1" s="44"/>
    </row>
    <row r="2" spans="1:20">
      <c r="A2" s="550" t="s">
        <v>193</v>
      </c>
      <c r="B2" s="550"/>
      <c r="C2" s="550"/>
      <c r="D2" s="550"/>
      <c r="E2" s="550"/>
      <c r="F2" s="550"/>
      <c r="G2" s="550"/>
      <c r="H2" s="550"/>
      <c r="I2" s="550"/>
      <c r="J2" s="3"/>
      <c r="K2" s="3"/>
      <c r="L2" s="3"/>
      <c r="M2" s="3"/>
      <c r="N2" s="3"/>
      <c r="O2" s="3"/>
      <c r="P2" s="3"/>
      <c r="Q2" s="3"/>
      <c r="R2" s="3"/>
      <c r="S2" s="3"/>
      <c r="T2" s="3"/>
    </row>
    <row r="3" spans="1:20" ht="26.25" customHeight="1">
      <c r="A3" s="545" t="s">
        <v>266</v>
      </c>
      <c r="B3" s="545"/>
      <c r="C3" s="545"/>
      <c r="D3" s="545"/>
      <c r="E3" s="545"/>
      <c r="F3" s="545"/>
      <c r="G3" s="545"/>
      <c r="H3" s="545"/>
      <c r="I3" s="545"/>
      <c r="J3" s="3"/>
      <c r="K3" s="3"/>
      <c r="L3" s="3"/>
      <c r="M3" s="3"/>
      <c r="N3" s="3"/>
      <c r="O3" s="3"/>
      <c r="P3" s="3"/>
      <c r="Q3" s="3"/>
      <c r="R3" s="3"/>
      <c r="S3" s="3"/>
      <c r="T3" s="3"/>
    </row>
    <row r="4" spans="1:20">
      <c r="A4" s="546" t="s">
        <v>17</v>
      </c>
      <c r="B4" s="546"/>
      <c r="C4" s="546"/>
      <c r="D4" s="546"/>
      <c r="E4" s="546"/>
      <c r="F4" s="546"/>
      <c r="G4" s="546"/>
      <c r="H4" s="546"/>
      <c r="I4" s="546"/>
      <c r="J4" s="348"/>
      <c r="K4" s="348"/>
      <c r="L4" s="348"/>
      <c r="M4" s="348"/>
      <c r="N4" s="348"/>
      <c r="O4" s="348"/>
      <c r="P4" s="348"/>
      <c r="Q4" s="348"/>
      <c r="R4" s="348"/>
      <c r="S4" s="348"/>
      <c r="T4" s="348"/>
    </row>
    <row r="5" spans="1:20">
      <c r="A5" s="550" t="s">
        <v>246</v>
      </c>
      <c r="B5" s="550"/>
      <c r="C5" s="550"/>
      <c r="D5" s="550"/>
      <c r="E5" s="550"/>
      <c r="F5" s="550"/>
      <c r="G5" s="550"/>
      <c r="H5" s="550"/>
      <c r="I5" s="550"/>
      <c r="J5" s="3"/>
      <c r="K5" s="3"/>
      <c r="L5" s="3"/>
      <c r="M5" s="3"/>
      <c r="N5" s="3"/>
      <c r="O5" s="3"/>
      <c r="P5" s="3"/>
      <c r="Q5" s="3"/>
      <c r="R5" s="3"/>
      <c r="S5" s="3"/>
      <c r="T5" s="3"/>
    </row>
    <row r="6" spans="1:20" s="529" customFormat="1">
      <c r="A6" s="675" t="s">
        <v>29</v>
      </c>
      <c r="B6" s="675"/>
      <c r="C6" s="675"/>
      <c r="D6" s="675"/>
      <c r="E6" s="675"/>
      <c r="F6" s="675"/>
      <c r="G6" s="675"/>
      <c r="H6" s="675"/>
      <c r="I6" s="675"/>
      <c r="J6" s="3"/>
      <c r="K6" s="3"/>
      <c r="L6" s="3"/>
      <c r="M6" s="3"/>
      <c r="N6" s="3"/>
      <c r="O6" s="3"/>
      <c r="P6" s="3"/>
      <c r="Q6" s="3"/>
      <c r="R6" s="3"/>
      <c r="S6" s="3"/>
      <c r="T6" s="3"/>
    </row>
    <row r="7" spans="1:20" s="529" customFormat="1">
      <c r="J7" s="3"/>
      <c r="K7" s="3"/>
      <c r="L7" s="3"/>
      <c r="M7" s="3"/>
      <c r="N7" s="3"/>
      <c r="O7" s="3"/>
      <c r="P7" s="3"/>
      <c r="Q7" s="3"/>
      <c r="R7" s="3"/>
      <c r="S7" s="3"/>
      <c r="T7" s="3"/>
    </row>
    <row r="8" spans="1:20">
      <c r="A8" s="600" t="s">
        <v>581</v>
      </c>
      <c r="B8" s="697"/>
      <c r="C8" s="697"/>
      <c r="D8" s="620" t="s">
        <v>34</v>
      </c>
      <c r="E8" s="620"/>
      <c r="F8" s="620"/>
      <c r="G8" s="620"/>
      <c r="H8" s="620"/>
      <c r="I8" s="620"/>
      <c r="J8" s="353"/>
      <c r="K8" s="353"/>
      <c r="L8" s="353"/>
      <c r="M8" s="353"/>
      <c r="N8" s="353"/>
      <c r="O8" s="353"/>
      <c r="P8" s="353"/>
      <c r="Q8" s="353"/>
      <c r="R8" s="353"/>
      <c r="S8" s="353"/>
      <c r="T8" s="353"/>
    </row>
    <row r="9" spans="1:20">
      <c r="A9" s="646"/>
      <c r="B9" s="646"/>
      <c r="C9" s="646"/>
      <c r="D9" s="685">
        <v>2001</v>
      </c>
      <c r="E9" s="685">
        <v>2002</v>
      </c>
      <c r="F9" s="685">
        <v>2003</v>
      </c>
      <c r="G9" s="685">
        <v>2004</v>
      </c>
      <c r="H9" s="685">
        <v>2005</v>
      </c>
      <c r="I9" s="685">
        <v>2006</v>
      </c>
      <c r="J9" s="44"/>
    </row>
    <row r="10" spans="1:20">
      <c r="A10" s="29" t="s">
        <v>253</v>
      </c>
      <c r="B10" s="29"/>
      <c r="C10" s="114"/>
      <c r="D10" s="44"/>
      <c r="E10" s="44"/>
      <c r="F10" s="44"/>
      <c r="G10" s="44"/>
      <c r="H10" s="44"/>
      <c r="I10" s="44"/>
      <c r="J10" s="44"/>
    </row>
    <row r="11" spans="1:20">
      <c r="A11" s="44"/>
      <c r="B11" s="44"/>
      <c r="C11" s="820" t="s">
        <v>164</v>
      </c>
      <c r="D11" s="78">
        <v>1.9390683490976188E-3</v>
      </c>
      <c r="E11" s="78">
        <v>3.2476776356435543E-3</v>
      </c>
      <c r="F11" s="78">
        <v>0</v>
      </c>
      <c r="G11" s="78">
        <v>9.7901409944649255E-4</v>
      </c>
      <c r="H11" s="78">
        <v>5.6331821571288338E-3</v>
      </c>
      <c r="I11" s="78">
        <v>2.3538592548318828E-3</v>
      </c>
      <c r="J11" s="44"/>
    </row>
    <row r="12" spans="1:20">
      <c r="A12" s="44"/>
      <c r="B12" s="44"/>
      <c r="C12" s="820" t="s">
        <v>161</v>
      </c>
      <c r="D12" s="78">
        <v>6.2545159881288196E-3</v>
      </c>
      <c r="E12" s="78">
        <v>5.1415836137318561E-3</v>
      </c>
      <c r="F12" s="78">
        <v>5.2163555098966299E-3</v>
      </c>
      <c r="G12" s="78">
        <v>6.8501171759519138E-5</v>
      </c>
      <c r="H12" s="78">
        <v>2.2915976448149486E-3</v>
      </c>
      <c r="I12" s="78">
        <v>8.0822943068166063E-4</v>
      </c>
      <c r="J12" s="44"/>
    </row>
    <row r="13" spans="1:20" ht="22.5" customHeight="1">
      <c r="A13" s="44"/>
      <c r="B13" s="44"/>
      <c r="C13" s="137" t="s">
        <v>8</v>
      </c>
      <c r="D13" s="78">
        <v>0</v>
      </c>
      <c r="E13" s="78">
        <v>1.2476400987527906E-3</v>
      </c>
      <c r="F13" s="78">
        <v>0</v>
      </c>
      <c r="G13" s="78">
        <v>0</v>
      </c>
      <c r="H13" s="78">
        <v>0</v>
      </c>
      <c r="I13" s="78">
        <v>0</v>
      </c>
      <c r="J13" s="44"/>
    </row>
    <row r="14" spans="1:20">
      <c r="A14" s="44"/>
      <c r="B14" s="44"/>
      <c r="C14" s="76" t="s">
        <v>9</v>
      </c>
      <c r="D14" s="78">
        <v>0.10343201480087467</v>
      </c>
      <c r="E14" s="78">
        <v>0.11518620735870747</v>
      </c>
      <c r="F14" s="78">
        <v>7.9200868144022468E-2</v>
      </c>
      <c r="G14" s="78">
        <v>6.5530594732937028E-2</v>
      </c>
      <c r="H14" s="78">
        <v>6.7444345408847764E-2</v>
      </c>
      <c r="I14" s="78">
        <v>7.453454617374479E-2</v>
      </c>
      <c r="J14" s="44"/>
    </row>
    <row r="15" spans="1:20">
      <c r="A15" s="44"/>
      <c r="B15" s="44"/>
      <c r="C15" s="76" t="s">
        <v>10</v>
      </c>
      <c r="D15" s="78">
        <v>5.8197761838862739E-3</v>
      </c>
      <c r="E15" s="78">
        <v>5.3572502812190012E-3</v>
      </c>
      <c r="F15" s="78">
        <v>5.093972734496602E-3</v>
      </c>
      <c r="G15" s="78">
        <v>3.6505450952819284E-3</v>
      </c>
      <c r="H15" s="78">
        <v>3.5538977099479172E-3</v>
      </c>
      <c r="I15" s="78">
        <v>4.4653153803863423E-3</v>
      </c>
      <c r="J15" s="44"/>
    </row>
    <row r="16" spans="1:20">
      <c r="A16" s="44"/>
      <c r="B16" s="44"/>
      <c r="C16" s="76" t="s">
        <v>11</v>
      </c>
      <c r="D16" s="78">
        <v>6.0942747816336885E-2</v>
      </c>
      <c r="E16" s="78">
        <v>4.0450783597978664E-2</v>
      </c>
      <c r="F16" s="78">
        <v>2.6178831112344515E-2</v>
      </c>
      <c r="G16" s="78">
        <v>2.8009780146093177E-2</v>
      </c>
      <c r="H16" s="78">
        <v>4.2615947838206721E-2</v>
      </c>
      <c r="I16" s="78">
        <v>2.9847648306543021E-2</v>
      </c>
      <c r="J16" s="44"/>
    </row>
    <row r="17" spans="1:10" s="703" customFormat="1" ht="16.5">
      <c r="A17" s="750"/>
      <c r="B17" s="713" t="s">
        <v>556</v>
      </c>
      <c r="C17" s="751"/>
      <c r="D17" s="752">
        <v>0.17838812313832428</v>
      </c>
      <c r="E17" s="752">
        <v>0.17063114258603332</v>
      </c>
      <c r="F17" s="752">
        <v>0.11569002750076021</v>
      </c>
      <c r="G17" s="752">
        <v>9.8238435245518133E-2</v>
      </c>
      <c r="H17" s="752">
        <v>0.12153897075894619</v>
      </c>
      <c r="I17" s="752">
        <v>0.11200959854618771</v>
      </c>
      <c r="J17" s="635"/>
    </row>
    <row r="18" spans="1:10">
      <c r="A18" s="29" t="s">
        <v>254</v>
      </c>
      <c r="B18" s="29"/>
      <c r="C18" s="114"/>
      <c r="D18" s="78"/>
      <c r="E18" s="78"/>
      <c r="F18" s="78"/>
      <c r="G18" s="78"/>
      <c r="H18" s="78"/>
      <c r="I18" s="78"/>
      <c r="J18" s="44"/>
    </row>
    <row r="19" spans="1:10">
      <c r="A19" s="44"/>
      <c r="B19" s="44"/>
      <c r="C19" s="109" t="s">
        <v>12</v>
      </c>
      <c r="D19" s="78">
        <v>1.1576844258112449E-2</v>
      </c>
      <c r="E19" s="78">
        <v>1.0317346104901457E-2</v>
      </c>
      <c r="F19" s="78">
        <v>7.5587848137339906E-3</v>
      </c>
      <c r="G19" s="78">
        <v>1.7895338796818528E-3</v>
      </c>
      <c r="H19" s="78">
        <v>1.4161539391004333E-3</v>
      </c>
      <c r="I19" s="78">
        <v>7.7766439466743812E-4</v>
      </c>
      <c r="J19" s="44"/>
    </row>
    <row r="20" spans="1:10">
      <c r="A20" s="44"/>
      <c r="B20" s="44"/>
      <c r="C20" s="76" t="s">
        <v>13</v>
      </c>
      <c r="D20" s="78">
        <v>0.18560046483210388</v>
      </c>
      <c r="E20" s="78">
        <v>0.12874569064186853</v>
      </c>
      <c r="F20" s="78">
        <v>6.1775943568325498E-2</v>
      </c>
      <c r="G20" s="78">
        <v>3.3370155786517655E-2</v>
      </c>
      <c r="H20" s="78">
        <v>5.8503774746797375E-2</v>
      </c>
      <c r="I20" s="78">
        <v>2.4662865084544332E-2</v>
      </c>
      <c r="J20" s="44"/>
    </row>
    <row r="21" spans="1:10">
      <c r="A21" s="44"/>
      <c r="B21" s="44"/>
      <c r="C21" s="76" t="s">
        <v>14</v>
      </c>
      <c r="D21" s="78">
        <v>3.8709777966468406E-2</v>
      </c>
      <c r="E21" s="78">
        <v>0.10491607903176975</v>
      </c>
      <c r="F21" s="78">
        <v>8.4365570503581233E-2</v>
      </c>
      <c r="G21" s="78">
        <v>8.0793645009638204E-2</v>
      </c>
      <c r="H21" s="78">
        <v>7.485591707749864E-2</v>
      </c>
      <c r="I21" s="78">
        <v>7.818208829343902E-2</v>
      </c>
      <c r="J21" s="44"/>
    </row>
    <row r="22" spans="1:10">
      <c r="A22" s="44"/>
      <c r="B22" s="44"/>
      <c r="C22" s="109" t="s">
        <v>15</v>
      </c>
      <c r="D22" s="78">
        <v>4.7776072304797045E-3</v>
      </c>
      <c r="E22" s="78">
        <v>0</v>
      </c>
      <c r="F22" s="78">
        <v>3.4474021239444485E-3</v>
      </c>
      <c r="G22" s="78">
        <v>1.4775443827219163E-3</v>
      </c>
      <c r="H22" s="78">
        <v>1.2742719092047375E-3</v>
      </c>
      <c r="I22" s="78">
        <v>1.7560636676741531E-3</v>
      </c>
      <c r="J22" s="44"/>
    </row>
    <row r="23" spans="1:10" s="757" customFormat="1" ht="16.5">
      <c r="A23" s="753"/>
      <c r="B23" s="754" t="s">
        <v>557</v>
      </c>
      <c r="C23" s="755"/>
      <c r="D23" s="756">
        <v>0.24066469428716447</v>
      </c>
      <c r="E23" s="756">
        <v>0.24397911577853973</v>
      </c>
      <c r="F23" s="756">
        <v>0.15714770100958519</v>
      </c>
      <c r="G23" s="756">
        <v>0.11743087905855962</v>
      </c>
      <c r="H23" s="756">
        <v>0.13605011767260114</v>
      </c>
      <c r="I23" s="756">
        <v>0.10537868144032494</v>
      </c>
      <c r="J23" s="637"/>
    </row>
    <row r="24" spans="1:10" ht="16.5">
      <c r="A24" s="344" t="s">
        <v>570</v>
      </c>
      <c r="B24" s="354"/>
      <c r="C24" s="344"/>
      <c r="D24" s="140">
        <v>0.41905281742548872</v>
      </c>
      <c r="E24" s="140">
        <v>0.41461025836457305</v>
      </c>
      <c r="F24" s="140">
        <v>0.27283772851034538</v>
      </c>
      <c r="G24" s="140">
        <v>0.21566931430407779</v>
      </c>
      <c r="H24" s="140">
        <v>0.25758908843154738</v>
      </c>
      <c r="I24" s="140">
        <v>0.21738827998651267</v>
      </c>
      <c r="J24" s="44"/>
    </row>
    <row r="25" spans="1:10">
      <c r="A25" s="270" t="s">
        <v>240</v>
      </c>
      <c r="B25" s="330"/>
    </row>
    <row r="26" spans="1:10">
      <c r="A26" s="270" t="s">
        <v>214</v>
      </c>
      <c r="B26" s="330"/>
    </row>
    <row r="27" spans="1:10">
      <c r="B27" s="330"/>
    </row>
    <row r="28" spans="1:10">
      <c r="A28" s="40" t="s">
        <v>170</v>
      </c>
    </row>
  </sheetData>
  <mergeCells count="7">
    <mergeCell ref="D8:I8"/>
    <mergeCell ref="A8:C9"/>
    <mergeCell ref="A2:I2"/>
    <mergeCell ref="A3:I3"/>
    <mergeCell ref="A4:I4"/>
    <mergeCell ref="A5:I5"/>
    <mergeCell ref="A6:I6"/>
  </mergeCells>
  <hyperlinks>
    <hyperlink ref="C1" location="Indice!A1" display="Cuadro 4.3 Gasto ambiental de la administración central del gobierno como porcentaje del PIB 24/434."/>
  </hyperlinks>
  <pageMargins left="0.7" right="0.7" top="0.75" bottom="0.75" header="0.3" footer="0.3"/>
  <pageSetup scale="87" orientation="portrait" r:id="rId1"/>
</worksheet>
</file>

<file path=xl/worksheets/sheet3.xml><?xml version="1.0" encoding="utf-8"?>
<worksheet xmlns="http://schemas.openxmlformats.org/spreadsheetml/2006/main" xmlns:r="http://schemas.openxmlformats.org/officeDocument/2006/relationships">
  <sheetPr>
    <tabColor theme="6" tint="-0.249977111117893"/>
  </sheetPr>
  <dimension ref="A1:J53"/>
  <sheetViews>
    <sheetView showGridLines="0" tabSelected="1" workbookViewId="0"/>
  </sheetViews>
  <sheetFormatPr baseColWidth="10" defaultRowHeight="16.5"/>
  <cols>
    <col min="1" max="1" width="211.83203125" style="569" bestFit="1" customWidth="1"/>
    <col min="2" max="16384" width="12" style="486"/>
  </cols>
  <sheetData>
    <row r="1" spans="1:10" ht="18">
      <c r="A1" s="534" t="s">
        <v>496</v>
      </c>
    </row>
    <row r="2" spans="1:10" ht="15">
      <c r="A2" s="535" t="s">
        <v>546</v>
      </c>
    </row>
    <row r="3" spans="1:10" ht="12.75">
      <c r="A3" s="570"/>
      <c r="B3" s="570"/>
      <c r="C3" s="570"/>
      <c r="D3" s="570"/>
    </row>
    <row r="4" spans="1:10" ht="12.75">
      <c r="A4" s="583" t="s">
        <v>497</v>
      </c>
      <c r="B4" s="570"/>
      <c r="C4" s="570"/>
      <c r="D4" s="570"/>
      <c r="E4" s="487"/>
      <c r="F4" s="487"/>
      <c r="G4" s="487"/>
    </row>
    <row r="5" spans="1:10" ht="12.75">
      <c r="A5" s="584" t="s">
        <v>498</v>
      </c>
      <c r="B5" s="571"/>
      <c r="C5" s="570"/>
      <c r="D5" s="570"/>
      <c r="E5" s="487"/>
      <c r="F5" s="487"/>
      <c r="G5" s="487"/>
    </row>
    <row r="6" spans="1:10" ht="13.5" customHeight="1">
      <c r="A6" s="585" t="s">
        <v>499</v>
      </c>
      <c r="B6" s="570"/>
      <c r="C6" s="570"/>
      <c r="D6" s="570"/>
      <c r="E6" s="487"/>
      <c r="F6" s="487"/>
      <c r="G6" s="487"/>
    </row>
    <row r="7" spans="1:10" ht="12.75">
      <c r="A7" s="583" t="s">
        <v>500</v>
      </c>
      <c r="B7" s="570"/>
      <c r="C7" s="570"/>
      <c r="D7" s="570"/>
      <c r="E7" s="487"/>
      <c r="F7" s="487"/>
      <c r="G7" s="487"/>
    </row>
    <row r="8" spans="1:10" ht="14.25" customHeight="1">
      <c r="A8" s="585" t="s">
        <v>501</v>
      </c>
      <c r="B8" s="570"/>
      <c r="C8" s="570"/>
      <c r="D8" s="570"/>
      <c r="E8" s="487"/>
      <c r="F8" s="487"/>
      <c r="G8" s="487"/>
    </row>
    <row r="9" spans="1:10" ht="12.75" customHeight="1">
      <c r="A9" s="585" t="s">
        <v>502</v>
      </c>
      <c r="B9" s="570"/>
      <c r="C9" s="570"/>
      <c r="D9" s="570"/>
      <c r="E9" s="487"/>
      <c r="F9" s="487"/>
      <c r="G9" s="487"/>
    </row>
    <row r="10" spans="1:10" ht="12.75" customHeight="1">
      <c r="A10" s="572" t="s">
        <v>503</v>
      </c>
      <c r="B10" s="572"/>
      <c r="C10" s="572"/>
      <c r="D10" s="572"/>
      <c r="E10" s="489"/>
      <c r="F10" s="489"/>
      <c r="G10" s="489"/>
      <c r="H10" s="489"/>
    </row>
    <row r="11" spans="1:10" ht="12.75">
      <c r="A11" s="573" t="s">
        <v>504</v>
      </c>
      <c r="B11" s="573"/>
      <c r="C11" s="573"/>
      <c r="D11" s="573"/>
      <c r="E11" s="490"/>
      <c r="F11" s="490"/>
      <c r="G11" s="490"/>
      <c r="H11" s="490"/>
    </row>
    <row r="12" spans="1:10" ht="12.75">
      <c r="A12" s="572" t="s">
        <v>505</v>
      </c>
      <c r="B12" s="572"/>
      <c r="C12" s="572"/>
      <c r="D12" s="572"/>
      <c r="E12" s="489"/>
      <c r="F12" s="489"/>
      <c r="G12" s="489"/>
      <c r="H12" s="489"/>
      <c r="I12" s="489"/>
      <c r="J12" s="489"/>
    </row>
    <row r="13" spans="1:10" ht="12.75">
      <c r="A13" s="572" t="s">
        <v>506</v>
      </c>
      <c r="B13" s="572"/>
      <c r="C13" s="572"/>
      <c r="D13" s="572"/>
      <c r="E13" s="489"/>
      <c r="F13" s="489"/>
      <c r="G13" s="489"/>
      <c r="H13" s="489"/>
      <c r="I13" s="489"/>
    </row>
    <row r="14" spans="1:10" ht="12.75">
      <c r="A14" s="586" t="s">
        <v>507</v>
      </c>
      <c r="B14" s="570"/>
      <c r="C14" s="574"/>
      <c r="D14" s="570"/>
      <c r="G14" s="487"/>
    </row>
    <row r="15" spans="1:10" ht="12.75">
      <c r="A15" s="572" t="s">
        <v>508</v>
      </c>
      <c r="B15" s="575"/>
      <c r="C15" s="570"/>
      <c r="D15" s="570"/>
      <c r="F15" s="487"/>
      <c r="G15" s="487"/>
    </row>
    <row r="16" spans="1:10" ht="12.75">
      <c r="A16" s="586" t="s">
        <v>509</v>
      </c>
      <c r="B16" s="570"/>
      <c r="C16" s="570"/>
      <c r="D16" s="570"/>
      <c r="E16" s="487"/>
      <c r="F16" s="487"/>
      <c r="G16" s="487"/>
    </row>
    <row r="17" spans="1:7" ht="12.75">
      <c r="A17" s="586" t="s">
        <v>510</v>
      </c>
      <c r="B17" s="570"/>
      <c r="C17" s="570"/>
      <c r="D17" s="570"/>
      <c r="E17" s="487"/>
      <c r="F17" s="487"/>
      <c r="G17" s="487"/>
    </row>
    <row r="18" spans="1:7" ht="12.75">
      <c r="A18" s="576" t="s">
        <v>511</v>
      </c>
      <c r="B18" s="576"/>
      <c r="C18" s="576"/>
      <c r="D18" s="576"/>
      <c r="F18" s="487"/>
      <c r="G18" s="487"/>
    </row>
    <row r="19" spans="1:7" ht="12.75">
      <c r="A19" s="576" t="s">
        <v>512</v>
      </c>
      <c r="B19" s="576"/>
      <c r="C19" s="576"/>
      <c r="D19" s="576"/>
      <c r="G19" s="487"/>
    </row>
    <row r="20" spans="1:7" ht="12.75">
      <c r="A20" s="576" t="s">
        <v>513</v>
      </c>
      <c r="B20" s="576"/>
      <c r="C20" s="576"/>
      <c r="D20" s="576"/>
    </row>
    <row r="21" spans="1:7" ht="12.75">
      <c r="A21" s="576" t="s">
        <v>514</v>
      </c>
      <c r="B21" s="576"/>
      <c r="C21" s="576"/>
      <c r="D21" s="576"/>
      <c r="F21" s="487"/>
      <c r="G21" s="487"/>
    </row>
    <row r="22" spans="1:7" ht="12.75">
      <c r="A22" s="587" t="s">
        <v>515</v>
      </c>
      <c r="B22" s="570"/>
      <c r="C22" s="570"/>
      <c r="D22" s="570"/>
    </row>
    <row r="23" spans="1:7" ht="12.75">
      <c r="A23" s="587" t="s">
        <v>516</v>
      </c>
      <c r="B23" s="577"/>
      <c r="C23" s="577"/>
      <c r="D23" s="577"/>
    </row>
    <row r="24" spans="1:7" ht="12.75">
      <c r="A24" s="587" t="s">
        <v>517</v>
      </c>
      <c r="B24" s="578"/>
      <c r="C24" s="570"/>
      <c r="D24" s="570"/>
    </row>
    <row r="25" spans="1:7" ht="12.75">
      <c r="A25" s="587" t="s">
        <v>518</v>
      </c>
      <c r="B25" s="570"/>
      <c r="C25" s="570"/>
      <c r="D25" s="570"/>
    </row>
    <row r="26" spans="1:7" ht="12.75">
      <c r="A26" s="572" t="s">
        <v>519</v>
      </c>
      <c r="B26" s="570"/>
      <c r="C26" s="570"/>
      <c r="D26" s="570"/>
    </row>
    <row r="27" spans="1:7" ht="12.75">
      <c r="A27" s="587" t="s">
        <v>520</v>
      </c>
      <c r="B27" s="570"/>
      <c r="C27" s="570"/>
      <c r="D27" s="570"/>
    </row>
    <row r="28" spans="1:7" ht="12.75">
      <c r="A28" s="587" t="s">
        <v>521</v>
      </c>
      <c r="B28" s="579"/>
      <c r="C28" s="579"/>
      <c r="D28" s="579"/>
    </row>
    <row r="29" spans="1:7" ht="12.75">
      <c r="A29" s="587" t="s">
        <v>522</v>
      </c>
      <c r="B29" s="580"/>
      <c r="C29" s="580"/>
      <c r="D29" s="570"/>
    </row>
    <row r="30" spans="1:7" ht="12.75">
      <c r="A30" s="587" t="s">
        <v>523</v>
      </c>
      <c r="B30" s="570"/>
      <c r="C30" s="570"/>
      <c r="D30" s="570"/>
    </row>
    <row r="31" spans="1:7" ht="12.75">
      <c r="A31" s="587" t="s">
        <v>524</v>
      </c>
      <c r="B31" s="570"/>
      <c r="C31" s="570"/>
      <c r="D31" s="570"/>
    </row>
    <row r="32" spans="1:7" ht="12.75">
      <c r="A32" s="587" t="s">
        <v>525</v>
      </c>
      <c r="B32" s="581"/>
      <c r="C32" s="581"/>
      <c r="D32" s="581"/>
    </row>
    <row r="33" spans="1:4" ht="12.75">
      <c r="A33" s="587" t="s">
        <v>526</v>
      </c>
      <c r="B33" s="570"/>
      <c r="C33" s="570"/>
      <c r="D33" s="581"/>
    </row>
    <row r="34" spans="1:4" ht="12.75">
      <c r="A34" s="587" t="s">
        <v>527</v>
      </c>
      <c r="B34" s="570"/>
      <c r="C34" s="570"/>
      <c r="D34" s="570"/>
    </row>
    <row r="35" spans="1:4" ht="12.75">
      <c r="A35" s="576" t="s">
        <v>528</v>
      </c>
      <c r="B35" s="576"/>
      <c r="C35" s="576"/>
      <c r="D35" s="582"/>
    </row>
    <row r="36" spans="1:4" ht="12.75">
      <c r="A36" s="576" t="s">
        <v>529</v>
      </c>
      <c r="B36" s="576"/>
      <c r="C36" s="576"/>
      <c r="D36" s="582"/>
    </row>
    <row r="37" spans="1:4" ht="12.75">
      <c r="A37" s="587" t="s">
        <v>530</v>
      </c>
      <c r="B37" s="582"/>
      <c r="C37" s="582"/>
      <c r="D37" s="582"/>
    </row>
    <row r="38" spans="1:4" ht="12.75">
      <c r="A38" s="576" t="s">
        <v>531</v>
      </c>
      <c r="B38" s="576"/>
      <c r="C38" s="576"/>
      <c r="D38" s="576"/>
    </row>
    <row r="39" spans="1:4" ht="12.75">
      <c r="A39" s="576" t="s">
        <v>532</v>
      </c>
      <c r="B39" s="576"/>
      <c r="C39" s="576"/>
      <c r="D39" s="576"/>
    </row>
    <row r="40" spans="1:4" ht="12.75">
      <c r="A40" s="587" t="s">
        <v>533</v>
      </c>
      <c r="B40" s="570"/>
      <c r="C40" s="570"/>
      <c r="D40" s="570"/>
    </row>
    <row r="41" spans="1:4" ht="12.75">
      <c r="A41" s="587" t="s">
        <v>332</v>
      </c>
      <c r="B41" s="570"/>
      <c r="C41" s="570"/>
      <c r="D41" s="570"/>
    </row>
    <row r="42" spans="1:4" ht="12.75">
      <c r="A42" s="587" t="s">
        <v>534</v>
      </c>
      <c r="B42" s="570"/>
      <c r="C42" s="570"/>
      <c r="D42" s="570"/>
    </row>
    <row r="43" spans="1:4" ht="12.75">
      <c r="A43" s="576" t="s">
        <v>535</v>
      </c>
      <c r="B43" s="576"/>
      <c r="C43" s="576"/>
      <c r="D43" s="570"/>
    </row>
    <row r="44" spans="1:4" ht="12.75">
      <c r="A44" s="587" t="s">
        <v>536</v>
      </c>
      <c r="B44" s="570"/>
      <c r="C44" s="570"/>
      <c r="D44" s="570"/>
    </row>
    <row r="45" spans="1:4" ht="12.75">
      <c r="A45" s="587" t="s">
        <v>537</v>
      </c>
      <c r="B45" s="570"/>
      <c r="C45" s="570"/>
      <c r="D45" s="570"/>
    </row>
    <row r="46" spans="1:4" ht="12.75">
      <c r="A46" s="587" t="s">
        <v>538</v>
      </c>
      <c r="B46" s="570"/>
      <c r="C46" s="570"/>
      <c r="D46" s="570"/>
    </row>
    <row r="47" spans="1:4" ht="12.75">
      <c r="A47" s="587" t="s">
        <v>539</v>
      </c>
      <c r="B47" s="570"/>
      <c r="C47" s="570"/>
      <c r="D47" s="570"/>
    </row>
    <row r="48" spans="1:4" ht="12.75">
      <c r="A48" s="572" t="s">
        <v>540</v>
      </c>
      <c r="B48" s="570"/>
      <c r="C48" s="570"/>
      <c r="D48" s="570"/>
    </row>
    <row r="49" spans="1:4" ht="12.75">
      <c r="A49" s="572" t="s">
        <v>541</v>
      </c>
      <c r="B49" s="570"/>
      <c r="C49" s="570"/>
      <c r="D49" s="570"/>
    </row>
    <row r="50" spans="1:4" ht="12.75">
      <c r="A50" s="572" t="s">
        <v>542</v>
      </c>
      <c r="B50" s="570"/>
      <c r="C50" s="570"/>
      <c r="D50" s="570"/>
    </row>
    <row r="51" spans="1:4" ht="12.75">
      <c r="A51" s="572" t="s">
        <v>543</v>
      </c>
      <c r="B51" s="570"/>
      <c r="C51" s="570"/>
      <c r="D51" s="570"/>
    </row>
    <row r="52" spans="1:4" ht="12.75">
      <c r="A52" s="587" t="s">
        <v>544</v>
      </c>
      <c r="B52" s="570"/>
      <c r="C52" s="570"/>
      <c r="D52" s="570"/>
    </row>
    <row r="53" spans="1:4" ht="12.75">
      <c r="A53" s="587" t="s">
        <v>545</v>
      </c>
      <c r="B53" s="570"/>
      <c r="C53" s="570"/>
      <c r="D53" s="570"/>
    </row>
  </sheetData>
  <mergeCells count="9">
    <mergeCell ref="A18:D18"/>
    <mergeCell ref="A19:D19"/>
    <mergeCell ref="A20:D20"/>
    <mergeCell ref="A21:D21"/>
    <mergeCell ref="A43:C43"/>
    <mergeCell ref="A35:C35"/>
    <mergeCell ref="A36:C36"/>
    <mergeCell ref="A38:D38"/>
    <mergeCell ref="A39:D39"/>
  </mergeCells>
  <hyperlinks>
    <hyperlink ref="A4" location="'1.1'!A1" display="Cuadro 1. Gasto ambiental de gobiernos locales (municipales) por clasificaciones CAPA y CGRN "/>
    <hyperlink ref="A5" location="'1.2'!C1" display="Pestaña 1.2 Gasto ambiental de gobiernos locales (municipales) por clasificaciones CAPA y CGRN, millones de quetzales corrientes, con agua y saneamiento "/>
    <hyperlink ref="A6" location="'1.3'!C1" display="Pestaña 1.3 Gasto ambiental de gobiernos locales (municipales), por clasificaciones CAPA y CGRN, millones de quetzales constantes, sin agua y saneamiento"/>
    <hyperlink ref="A7" location="'1.4'!C2" display="Pestaña 1.4 Gasto ambiental de gobiernos locales por clasificaciones CAPA y CGRN, millones de quetzales constantes, con agua y saneamiento "/>
    <hyperlink ref="A8" location="'2.1'!C1" display="Pestaña 2.1 Gasto ambiental de la administración central del Gobierno de Guatemala por clasificaciones CAPA y CGRN, millones de quetzales corrientes, sin agua y saneamiento"/>
    <hyperlink ref="A9" location="'2.2'!C1" display="Pestaña 2.2 Gasto ambiental de la adnimistración central del Gobierno de Guatemala por clasificaciones CAPA y CGRN, millones de quetzales corrientes, con agua y saneamiento"/>
    <hyperlink ref="A10:H10" location="Indice!A1" display="Cuadro 7. Cuenta de gastos y transacciones ambientales: gasto ambiental ejecutado por la administración central del Gobierno de Guatemala"/>
    <hyperlink ref="A11:H11" location="Indice!A1" display="Cuadro 8. Cuenta de gastos y transacciones ambientales: gasto ambiental ejecutado por la administración central del Gobierno de Guatemala"/>
    <hyperlink ref="A12:J12" location="Indice!A1" display="Cuenta de gastos y transacciones ambientales: gasto ambiental per cápita con base en gastos de la administración central del Gobierno de Guatemala"/>
    <hyperlink ref="A13:I13" location="Indice!A1" display="Cuadro 10. Cuenta de gastos y transacciones ambientales: gasto ambiental per cápita con base en gastos de la administración central del Gobierno de Guatemala"/>
    <hyperlink ref="A14" location="'2.7'!A1" display="Pestaña 2.7 Gasto ambiental de la administración central del gobierno de Guatemala por clasificaciones CAPA y CGRN, millones de quetzales constantes, con agua y saneamiento "/>
    <hyperlink ref="A16" location="'3.1'!A1" display="Pestaña 3.1 Gasto ambiental del Gobierno General de Guatemala por clasificaciones CAPA y CGRN, millones de quetzales corrientes, no incluye agua y saneamiento"/>
    <hyperlink ref="A35:C35" location="'4.18'!A1" display="Pestaña 4.18. Gasto ambiental per cápita, quetzales constantes, con agua y saneamiento "/>
    <hyperlink ref="A38:D38" location="'4.21'!A1" display="Pestaña 4.21. Estructura porcentual de gasto ambiental de los gobiernos locales, precios de cada año, sin agua y saneamiento"/>
    <hyperlink ref="A10:A11" location="'2.1a'!A1" display="Cuadro 7. Cuenta de gastos y transacciones ambientales: gasto ambiental ejecutado por la administración central del Gobierno de Guatemala"/>
    <hyperlink ref="A12:B13" location="'2.1b'!A1" display="Cuadro 9.Cuenta de gastos y transacciones ambientales: gasto ambiental per cápita con base en gastos de la administración central del Gobierno de Guatemala"/>
    <hyperlink ref="A20:A21" location="'4.2'!A1" display="Cuadro 15. Gasto ambiental del gobierno central  como porcentaje del presupuesto general  de egresos "/>
    <hyperlink ref="A10" location="'2.3'!A1" display="Pestaña 2.3 Cuenta de gastos y transacciones ambientales: gasto ambiental ejecutado por la administración central del Gobierno de Guatemala"/>
    <hyperlink ref="A11" location="'2.4'!A1" display="Pestaña 2.4 Cuenta de gastos y transacciones ambientales: gasto ambiental ejecutado por la administración central del Gobierno de Guatemala"/>
    <hyperlink ref="A12" location="'2.5'!A1" display="Pestaña 2.5 Gasto ambiental per cápita con base en gastos de la administración central del Gobierno de Guatemala, quetzales corrientes, sin agua y saneamiento"/>
    <hyperlink ref="A13" location="'2.6'!D1" display="Pestaña 2.6 Gasto ambiental per cápita con base en gastos de la administración central del Gobierno de Guatemala, millones de quetzales constantes, sin agua y saneamiento"/>
    <hyperlink ref="A15" location="'2.8'!A1" display="'2.8'!A1"/>
    <hyperlink ref="A17" location="'3.2'!A1" display="Pestaña 3.2 Gasto ambiental del gobierno general de Guatemala por clasificaciones CAPA y CGRN, millones de quetzales corrientes, con agua y saneamiento"/>
    <hyperlink ref="A18:D18" location="'4.1'!A1" display="Pestaña 4.1 Gasto ambiental de la administración central de Gobierno como porcentaje del presupuesto de gasto del Estado, porcentaje, sin aguay saneamiento CGRN "/>
    <hyperlink ref="A20:D20" location="'4.3'!A1" display="Pestaña 4.3 Gasto ambiental de la administración central de Gobierno como porcentaje del presupuesto de gasto del Estado, porcentaje, con agua y saneamiento, clasificación económica presupuestaria "/>
    <hyperlink ref="A21:D21" location="'4.4'!A1" display="Pestaña 4.4 Gasto ambiental de la administración central de Gobierno como porcentaje del presupuesto de gasto del Estado, porcentaje, con agua y saneamiento "/>
    <hyperlink ref="A19:D19" location="'4.2'!A1" display="Pestaña 4.2 Gasto ambiental de la administración central de Gobierno como porcentaje del presupuesto de gasto del Estado, porcentaje, sin agua y saneamiento "/>
    <hyperlink ref="A23" location="'4.6'!A1" display="Pestaña 4.6 structura porcentual del gasto ambiental de la administración central del Gobierno de Guatemala por clasificaciones CAPA y CGRN, quetzales de cada año, con agua y saneamiento"/>
    <hyperlink ref="A24" location="'4.7'!A1" display="Pestaña 4.7. Estructura porcentual del gasto ambiental del gobierno central por clasificaciones CAPA y CGRN, precios de cada año, con agua y saneamiento"/>
    <hyperlink ref="A25" location="'4.8'!A1" display="Pestaña 4.8. Estructura porcentual del gasto ambiental del gobierno central por clasificaciones CAPA y CGRN, precios corrientes, con agua y saneamiento"/>
    <hyperlink ref="A26" location="'4.9'!A1" display="Pestaña 4.9. Gasto ambiental de la administración central del gobierno como porcentaje del PIB, precios de cada año, sin agua y saneamiento "/>
    <hyperlink ref="A27" location="'4.10'!A1" display="Pestaña 4.10. Gasto ambiental de la administración central del gobierno como porcentaje del PIB, por CAPA y CGRN, según clasificación económica, precios corrientes, sin agua y saneamiento "/>
    <hyperlink ref="A28" location="'4.11'!A1" display="Pestaña 4.11. Gasto ambiental de la administración central del gobierno como porcentaje del PIB, precios corrientes, sin agua y saneamiento "/>
    <hyperlink ref="A29" location="'4.12'!A1" display="Pestaña 4.12. Gasto ambiental de la administración central del gobierno como porcentaje del PIB, precios corrientes, con agua y saneamiento "/>
    <hyperlink ref="A30" location="'4.13'!A1" display="Pestaña 4.13. Gasto ambiental per cápita del gobierno general, precios de cada año, sin agua y saneamiento"/>
    <hyperlink ref="A31" location="'4.14'!A1" display="Pestaña 4.14. Gasto ambiental per cápita del gobierno general por actividades CAPA y CGRN, precios de cada año, con agua y saneamiento"/>
    <hyperlink ref="A32" location="'4.15'!A1" display="Pestaña 4.15. Gasto ambiental per cápita con base en gastos de la administración central del Gobierno de Guatemala, según clasificación económica, quetzales corrientes, sin agua y saneamiento"/>
    <hyperlink ref="A33" location="'4.16'!A1" display="Pestaña4.16. Gasto ambiental per cápita a partir de gastos ambientales de administración central, quetzales constantes, sin agua y saneamiento"/>
    <hyperlink ref="A34" location="'4.17'!A1" display="Pestaña 4.17. Cuenta de gastos y transacciones ambientales: gasto ambiental per cápita con base en gastos de la administración central del Gobierno de Guatemala, según clasificación económica, quetzales de cada año, incluye agua y saneamiento"/>
    <hyperlink ref="A36:C36" location="'4.19'!A1" display="Pestaña 4.19. Comparación entre países del gasto ambiental per cápita, en US$ "/>
    <hyperlink ref="A37" location="'4.20'!A1" display="Pestaña 4.20. Comparación entre países del gasto ambiental per cápita, según gasto corriente y de capital, en US$ "/>
    <hyperlink ref="A39:D39" location="'4.22'!A1" display="Pestaña 4.22. Estructura porcentual de gasto ambiental de los gobiernos locales, precios de cada año, con agua y saneamiento"/>
    <hyperlink ref="A40" location="'4.23'!A1" display="Pestaña 4.23. Gasto ambiental del Gobierno local como porcentaje del presupuesto general  de egresos del Estado, precios de cada año, sin agua y saneamiento"/>
    <hyperlink ref="A41" location="'4.24'!A1" display="Cuadro 4.24. Gasto ambiental de los gobiernos locales como porcentaje del presupuesto general  de egresos del Estado, precios de cada año, con agua y saneamiento"/>
    <hyperlink ref="A42" location="'4.25'!A1" display="Pestaña 4.25. Gasto ambiental de los gobiernos locales como porcentaje del PIB, precios de cada año, sin agua y saneamiento"/>
    <hyperlink ref="A43:C43" location="'4.26'!A1" display="Cuadro 4.26. Gasto ambiental de los gobiernos locales como porcentaje del PIB, precios de cada año, con agua y saneamiento"/>
    <hyperlink ref="A44" location="'5.1'!A1" display="Pestaña 5.1. Estructura porcentual del gasto ambiental institucional total en actividades o programas de medio ambiente o recursos naturales, precios de cada año, con agua y saneamiento"/>
    <hyperlink ref="A45" location="'5.2'!A1" display="Pestaña 5.2. Porcentaje del presupuesto ambiental de cada entidad respectoa l presupuesto total de cada una de ellas, precios de cada año, sin agua y saneamiento"/>
    <hyperlink ref="A46" location="'5.3'!A1" display="Pestaña 5.3. Porcentaje del presupuesto asignado a entidades destinado a actividades de medio ambiente o recursos naturales"/>
    <hyperlink ref="A22" location="'4.5'!A1" display="Pestaña 4.5.  Estructura porcentual del gasto ambiental de la administración central del Gobierno de Guatemala por clasificaciones CAPA y CGRN, quetzales de cada año, sin agua y saneamiento"/>
    <hyperlink ref="A52" location="'7.1'!A1" display="Pestaña 7.1. Referencias generales de la Cuenta Integrada de Gastos y Transacciones Ambientales"/>
    <hyperlink ref="A53" location="'7.2'!A1" display="Pestaña 7.2. Glosario de la Cuenta Integrada de Gastos y Transacciones Ambientales"/>
    <hyperlink ref="A48" location="'6.2'!A1" display="Pestaña 6.2. Transacciones ambientales de los gobierno locales (municipales), quetzales corrientes"/>
    <hyperlink ref="A47" location="'6.1'!A1" display="Pestaña 6.1. Transacciones ambientales desagregadas del Gobierno Central, quetzales de cada año"/>
    <hyperlink ref="A49" location="'6.3'!A1" display="Pestaña 6.3. Transacciones ambientales agregadas del Gobierno Central, quetzales constantes de 2001"/>
    <hyperlink ref="A50" location="'6.4'!A1" display="Pestaña 6.4. Transacciones ambientales agregadas de los gobjiernos municipales, quetzales de cada año"/>
    <hyperlink ref="A51" location="'6.5'!A1" display="Pestaña 6.5. Transacciones ambientales agregadas de los gobiernos municipales, quetzales de 2001"/>
  </hyperlinks>
  <pageMargins left="0.7" right="0.7" top="0.75" bottom="0.75" header="0.3" footer="0.3"/>
  <pageSetup scale="50" fitToWidth="0" fitToHeight="0" orientation="portrait" r:id="rId1"/>
</worksheet>
</file>

<file path=xl/worksheets/sheet30.xml><?xml version="1.0" encoding="utf-8"?>
<worksheet xmlns="http://schemas.openxmlformats.org/spreadsheetml/2006/main" xmlns:r="http://schemas.openxmlformats.org/officeDocument/2006/relationships">
  <sheetPr>
    <tabColor theme="3" tint="0.39997558519241921"/>
    <pageSetUpPr fitToPage="1"/>
  </sheetPr>
  <dimension ref="A1:U29"/>
  <sheetViews>
    <sheetView showGridLines="0" topLeftCell="A3" workbookViewId="0">
      <selection activeCell="A3" sqref="A3:U3"/>
    </sheetView>
  </sheetViews>
  <sheetFormatPr baseColWidth="10" defaultRowHeight="12.75"/>
  <cols>
    <col min="1" max="2" width="0.83203125" customWidth="1"/>
    <col min="3" max="3" width="56.1640625" customWidth="1"/>
    <col min="4" max="4" width="8.33203125" customWidth="1"/>
    <col min="5" max="5" width="8.83203125" customWidth="1"/>
    <col min="6" max="6" width="8" customWidth="1"/>
    <col min="7" max="7" width="9.1640625" customWidth="1"/>
    <col min="8" max="8" width="7.6640625" customWidth="1"/>
    <col min="9" max="9" width="7.5" customWidth="1"/>
    <col min="10" max="10" width="8.6640625" customWidth="1"/>
    <col min="11" max="11" width="8.5" customWidth="1"/>
    <col min="12" max="12" width="7.83203125" customWidth="1"/>
    <col min="13" max="13" width="8.5" customWidth="1"/>
    <col min="14" max="14" width="7.1640625" customWidth="1"/>
    <col min="15" max="15" width="8.33203125" customWidth="1"/>
    <col min="16" max="16" width="8.83203125" customWidth="1"/>
    <col min="17" max="19" width="8.5" customWidth="1"/>
    <col min="20" max="20" width="9.1640625" customWidth="1"/>
    <col min="21" max="21" width="7.6640625" customWidth="1"/>
  </cols>
  <sheetData>
    <row r="1" spans="1:21" hidden="1">
      <c r="B1" s="330"/>
      <c r="C1" s="8" t="s">
        <v>318</v>
      </c>
      <c r="D1" s="330"/>
      <c r="E1" s="330"/>
      <c r="F1" s="330"/>
      <c r="G1" s="330"/>
      <c r="H1" s="330"/>
      <c r="I1" s="330"/>
      <c r="J1" s="330"/>
      <c r="K1" s="330"/>
      <c r="L1" s="330"/>
      <c r="M1" s="330"/>
      <c r="N1" s="330"/>
      <c r="O1" s="330"/>
      <c r="P1" s="330"/>
      <c r="Q1" s="330"/>
      <c r="R1" s="330"/>
      <c r="S1" s="330"/>
      <c r="T1" s="330"/>
      <c r="U1" s="330"/>
    </row>
    <row r="2" spans="1:21" hidden="1">
      <c r="B2" s="330"/>
      <c r="C2" s="330"/>
      <c r="D2" s="330"/>
      <c r="E2" s="330"/>
      <c r="F2" s="330"/>
      <c r="G2" s="330"/>
      <c r="H2" s="330"/>
      <c r="I2" s="330"/>
      <c r="J2" s="330"/>
      <c r="K2" s="330"/>
      <c r="L2" s="330"/>
      <c r="M2" s="330"/>
      <c r="N2" s="330"/>
      <c r="O2" s="330"/>
      <c r="P2" s="330"/>
      <c r="Q2" s="330"/>
      <c r="R2" s="330"/>
      <c r="S2" s="330"/>
      <c r="T2" s="330"/>
      <c r="U2" s="330"/>
    </row>
    <row r="3" spans="1:21">
      <c r="A3" s="537" t="s">
        <v>194</v>
      </c>
      <c r="B3" s="537"/>
      <c r="C3" s="537"/>
      <c r="D3" s="537"/>
      <c r="E3" s="537"/>
      <c r="F3" s="537"/>
      <c r="G3" s="537"/>
      <c r="H3" s="537"/>
      <c r="I3" s="537"/>
      <c r="J3" s="537"/>
      <c r="K3" s="537"/>
      <c r="L3" s="537"/>
      <c r="M3" s="537"/>
      <c r="N3" s="537"/>
      <c r="O3" s="537"/>
      <c r="P3" s="537"/>
      <c r="Q3" s="537"/>
      <c r="R3" s="537"/>
      <c r="S3" s="537"/>
      <c r="T3" s="537"/>
      <c r="U3" s="537"/>
    </row>
    <row r="4" spans="1:21" ht="26.25" customHeight="1">
      <c r="A4" s="554" t="s">
        <v>261</v>
      </c>
      <c r="B4" s="554"/>
      <c r="C4" s="554"/>
      <c r="D4" s="554"/>
      <c r="E4" s="554"/>
      <c r="F4" s="554"/>
      <c r="G4" s="554"/>
      <c r="H4" s="554"/>
      <c r="I4" s="554"/>
      <c r="J4" s="554"/>
      <c r="K4" s="554"/>
      <c r="L4" s="554"/>
      <c r="M4" s="554"/>
      <c r="N4" s="554"/>
      <c r="O4" s="554"/>
      <c r="P4" s="554"/>
      <c r="Q4" s="554"/>
      <c r="R4" s="554"/>
      <c r="S4" s="554"/>
      <c r="T4" s="554"/>
      <c r="U4" s="554"/>
    </row>
    <row r="5" spans="1:21">
      <c r="A5" s="555" t="s">
        <v>5</v>
      </c>
      <c r="B5" s="555"/>
      <c r="C5" s="555"/>
      <c r="D5" s="555"/>
      <c r="E5" s="555"/>
      <c r="F5" s="555"/>
      <c r="G5" s="555"/>
      <c r="H5" s="555"/>
      <c r="I5" s="555"/>
      <c r="J5" s="555"/>
      <c r="K5" s="555"/>
      <c r="L5" s="555"/>
      <c r="M5" s="555"/>
      <c r="N5" s="555"/>
      <c r="O5" s="555"/>
      <c r="P5" s="555"/>
      <c r="Q5" s="555"/>
      <c r="R5" s="555"/>
      <c r="S5" s="555"/>
      <c r="T5" s="555"/>
      <c r="U5" s="555"/>
    </row>
    <row r="6" spans="1:21">
      <c r="A6" s="555" t="s">
        <v>246</v>
      </c>
      <c r="B6" s="555"/>
      <c r="C6" s="555"/>
      <c r="D6" s="555"/>
      <c r="E6" s="555"/>
      <c r="F6" s="555"/>
      <c r="G6" s="555"/>
      <c r="H6" s="555"/>
      <c r="I6" s="555"/>
      <c r="J6" s="555"/>
      <c r="K6" s="555"/>
      <c r="L6" s="555"/>
      <c r="M6" s="555"/>
      <c r="N6" s="555"/>
      <c r="O6" s="555"/>
      <c r="P6" s="555"/>
      <c r="Q6" s="555"/>
      <c r="R6" s="555"/>
      <c r="S6" s="555"/>
      <c r="T6" s="555"/>
      <c r="U6" s="555"/>
    </row>
    <row r="7" spans="1:21" s="529" customFormat="1">
      <c r="A7" s="729" t="s">
        <v>28</v>
      </c>
      <c r="B7" s="729"/>
      <c r="C7" s="729"/>
      <c r="D7" s="729"/>
      <c r="E7" s="729"/>
      <c r="F7" s="729"/>
      <c r="G7" s="729"/>
      <c r="H7" s="729"/>
      <c r="I7" s="729"/>
      <c r="J7" s="729"/>
      <c r="K7" s="729"/>
      <c r="L7" s="729"/>
      <c r="M7" s="729"/>
      <c r="N7" s="729"/>
      <c r="O7" s="729"/>
      <c r="P7" s="729"/>
      <c r="Q7" s="729"/>
      <c r="R7" s="729"/>
      <c r="S7" s="729"/>
      <c r="T7" s="729"/>
      <c r="U7" s="729"/>
    </row>
    <row r="9" spans="1:21">
      <c r="A9" s="730" t="s">
        <v>153</v>
      </c>
      <c r="B9" s="730"/>
      <c r="C9" s="730"/>
      <c r="D9" s="736"/>
      <c r="E9" s="737">
        <v>2001</v>
      </c>
      <c r="F9" s="737"/>
      <c r="G9" s="732"/>
      <c r="H9" s="733">
        <v>2002</v>
      </c>
      <c r="I9" s="732"/>
      <c r="J9" s="739"/>
      <c r="K9" s="737">
        <v>2003</v>
      </c>
      <c r="L9" s="739"/>
      <c r="M9" s="732"/>
      <c r="N9" s="733">
        <v>2004</v>
      </c>
      <c r="O9" s="733"/>
      <c r="P9" s="739"/>
      <c r="Q9" s="737">
        <v>2005</v>
      </c>
      <c r="R9" s="737"/>
      <c r="S9" s="732"/>
      <c r="T9" s="733">
        <v>2006</v>
      </c>
      <c r="U9" s="735"/>
    </row>
    <row r="10" spans="1:21">
      <c r="A10" s="731"/>
      <c r="B10" s="731"/>
      <c r="C10" s="731"/>
      <c r="D10" s="738" t="s">
        <v>205</v>
      </c>
      <c r="E10" s="738" t="s">
        <v>0</v>
      </c>
      <c r="F10" s="738" t="s">
        <v>559</v>
      </c>
      <c r="G10" s="734" t="s">
        <v>205</v>
      </c>
      <c r="H10" s="734" t="s">
        <v>0</v>
      </c>
      <c r="I10" s="734" t="s">
        <v>559</v>
      </c>
      <c r="J10" s="738" t="s">
        <v>205</v>
      </c>
      <c r="K10" s="738" t="s">
        <v>0</v>
      </c>
      <c r="L10" s="738" t="s">
        <v>559</v>
      </c>
      <c r="M10" s="734" t="s">
        <v>205</v>
      </c>
      <c r="N10" s="734" t="s">
        <v>0</v>
      </c>
      <c r="O10" s="734" t="s">
        <v>559</v>
      </c>
      <c r="P10" s="738" t="s">
        <v>205</v>
      </c>
      <c r="Q10" s="738" t="s">
        <v>0</v>
      </c>
      <c r="R10" s="738" t="s">
        <v>559</v>
      </c>
      <c r="S10" s="734" t="s">
        <v>205</v>
      </c>
      <c r="T10" s="734" t="s">
        <v>0</v>
      </c>
      <c r="U10" s="734" t="s">
        <v>559</v>
      </c>
    </row>
    <row r="11" spans="1:21">
      <c r="A11" s="361" t="s">
        <v>211</v>
      </c>
      <c r="B11" s="361"/>
      <c r="C11" s="362"/>
      <c r="D11" s="330"/>
      <c r="E11" s="330"/>
      <c r="F11" s="330"/>
      <c r="G11" s="330"/>
      <c r="H11" s="330"/>
      <c r="I11" s="330"/>
      <c r="J11" s="330"/>
      <c r="K11" s="330"/>
      <c r="L11" s="330"/>
      <c r="M11" s="330"/>
      <c r="N11" s="330"/>
      <c r="O11" s="330"/>
      <c r="P11" s="330"/>
      <c r="Q11" s="330"/>
      <c r="R11" s="330"/>
      <c r="S11" s="330"/>
      <c r="T11" s="330"/>
      <c r="U11" s="330"/>
    </row>
    <row r="12" spans="1:21">
      <c r="A12" s="363"/>
      <c r="B12" s="363"/>
      <c r="C12" s="819" t="s">
        <v>164</v>
      </c>
      <c r="D12" s="295">
        <v>0</v>
      </c>
      <c r="E12" s="295">
        <v>1.939068349097619E-3</v>
      </c>
      <c r="F12" s="295">
        <v>1.939068349097619E-3</v>
      </c>
      <c r="G12" s="295">
        <v>3.2476776356435543E-3</v>
      </c>
      <c r="H12" s="295">
        <v>0</v>
      </c>
      <c r="I12" s="295">
        <v>3.2476776356435543E-3</v>
      </c>
      <c r="J12" s="365">
        <v>0</v>
      </c>
      <c r="K12" s="365">
        <v>0</v>
      </c>
      <c r="L12" s="365">
        <v>0</v>
      </c>
      <c r="M12" s="295">
        <v>0</v>
      </c>
      <c r="N12" s="295">
        <v>9.7901409944649255E-4</v>
      </c>
      <c r="O12" s="295">
        <v>9.7901409944649255E-4</v>
      </c>
      <c r="P12" s="309">
        <v>0</v>
      </c>
      <c r="Q12" s="309">
        <v>5.6331821571288347E-3</v>
      </c>
      <c r="R12" s="309">
        <v>5.6331821571288347E-3</v>
      </c>
      <c r="S12" s="295">
        <v>0</v>
      </c>
      <c r="T12" s="295">
        <v>2.3509107359548824E-3</v>
      </c>
      <c r="U12" s="295">
        <v>2.3509107359548824E-3</v>
      </c>
    </row>
    <row r="13" spans="1:21">
      <c r="A13" s="363"/>
      <c r="B13" s="363"/>
      <c r="C13" s="819" t="s">
        <v>161</v>
      </c>
      <c r="D13" s="295">
        <v>7.0571882284263348E-4</v>
      </c>
      <c r="E13" s="295">
        <v>5.5487971652861869E-3</v>
      </c>
      <c r="F13" s="295">
        <v>6.2545159881288196E-3</v>
      </c>
      <c r="G13" s="295">
        <v>1.3986651635500792E-3</v>
      </c>
      <c r="H13" s="295">
        <v>3.7429184501817773E-3</v>
      </c>
      <c r="I13" s="295">
        <v>5.1415836137318561E-3</v>
      </c>
      <c r="J13" s="365">
        <v>7.1175006794255017E-4</v>
      </c>
      <c r="K13" s="365">
        <v>4.5046054419540793E-3</v>
      </c>
      <c r="L13" s="365">
        <v>5.216355509896629E-3</v>
      </c>
      <c r="M13" s="295">
        <v>1.8747994776310237E-5</v>
      </c>
      <c r="N13" s="295">
        <v>4.9753176983208887E-5</v>
      </c>
      <c r="O13" s="295">
        <v>6.8501171759519138E-5</v>
      </c>
      <c r="P13" s="309">
        <v>1.045041734684004E-4</v>
      </c>
      <c r="Q13" s="309">
        <v>2.1870934713465484E-3</v>
      </c>
      <c r="R13" s="309">
        <v>2.2915976448149491E-3</v>
      </c>
      <c r="S13" s="295">
        <v>3.021228518931534E-4</v>
      </c>
      <c r="T13" s="295">
        <v>5.0509416492883403E-4</v>
      </c>
      <c r="U13" s="295">
        <v>8.0721701682198764E-4</v>
      </c>
    </row>
    <row r="14" spans="1:21" ht="24.75" customHeight="1">
      <c r="A14" s="363"/>
      <c r="B14" s="363"/>
      <c r="C14" s="822" t="s">
        <v>8</v>
      </c>
      <c r="D14" s="295">
        <v>0</v>
      </c>
      <c r="E14" s="295">
        <v>0</v>
      </c>
      <c r="F14" s="295">
        <v>0</v>
      </c>
      <c r="G14" s="295">
        <v>1.2476400987527906E-3</v>
      </c>
      <c r="H14" s="295">
        <v>0</v>
      </c>
      <c r="I14" s="295">
        <v>1.2476400987527906E-3</v>
      </c>
      <c r="J14" s="365">
        <v>0</v>
      </c>
      <c r="K14" s="365">
        <v>0</v>
      </c>
      <c r="L14" s="365">
        <v>0</v>
      </c>
      <c r="M14" s="295">
        <v>0</v>
      </c>
      <c r="N14" s="295">
        <v>0</v>
      </c>
      <c r="O14" s="295">
        <v>0</v>
      </c>
      <c r="P14" s="309">
        <v>0</v>
      </c>
      <c r="Q14" s="309">
        <v>0</v>
      </c>
      <c r="R14" s="309">
        <v>0</v>
      </c>
      <c r="S14" s="295">
        <v>0</v>
      </c>
      <c r="T14" s="295">
        <v>0</v>
      </c>
      <c r="U14" s="295">
        <v>0</v>
      </c>
    </row>
    <row r="15" spans="1:21">
      <c r="A15" s="363"/>
      <c r="B15" s="363"/>
      <c r="C15" s="364" t="s">
        <v>9</v>
      </c>
      <c r="D15" s="295">
        <v>7.7416742841435918E-2</v>
      </c>
      <c r="E15" s="295">
        <v>2.6015271959438774E-2</v>
      </c>
      <c r="F15" s="295">
        <v>0.1034320148008747</v>
      </c>
      <c r="G15" s="295">
        <v>5.8279548412743347E-2</v>
      </c>
      <c r="H15" s="295">
        <v>5.6906658945964118E-2</v>
      </c>
      <c r="I15" s="295">
        <v>0.11518620735870747</v>
      </c>
      <c r="J15" s="365">
        <v>4.0640416999743516E-2</v>
      </c>
      <c r="K15" s="365">
        <v>3.8560451144278945E-2</v>
      </c>
      <c r="L15" s="365">
        <v>7.920086814402269E-2</v>
      </c>
      <c r="M15" s="295">
        <v>3.8575382185789653E-2</v>
      </c>
      <c r="N15" s="295">
        <v>2.6955212547147372E-2</v>
      </c>
      <c r="O15" s="295">
        <v>6.5530594732937028E-2</v>
      </c>
      <c r="P15" s="309">
        <v>3.1149350220407462E-2</v>
      </c>
      <c r="Q15" s="309">
        <v>3.6294995188440322E-2</v>
      </c>
      <c r="R15" s="309">
        <v>6.7444345408847806E-2</v>
      </c>
      <c r="S15" s="295">
        <v>3.0410110470026248E-2</v>
      </c>
      <c r="T15" s="295">
        <v>4.4031071363462918E-2</v>
      </c>
      <c r="U15" s="295">
        <v>7.4441181833489162E-2</v>
      </c>
    </row>
    <row r="16" spans="1:21">
      <c r="A16" s="363"/>
      <c r="B16" s="363"/>
      <c r="C16" s="364" t="s">
        <v>10</v>
      </c>
      <c r="D16" s="295">
        <v>5.8197761838862747E-3</v>
      </c>
      <c r="E16" s="295">
        <v>0</v>
      </c>
      <c r="F16" s="295">
        <v>5.8197761838862747E-3</v>
      </c>
      <c r="G16" s="295">
        <v>5.3572502812190012E-3</v>
      </c>
      <c r="H16" s="295">
        <v>0</v>
      </c>
      <c r="I16" s="295">
        <v>5.3572502812190012E-3</v>
      </c>
      <c r="J16" s="365">
        <v>5.093972734496602E-3</v>
      </c>
      <c r="K16" s="365">
        <v>0</v>
      </c>
      <c r="L16" s="365">
        <v>5.093972734496602E-3</v>
      </c>
      <c r="M16" s="295">
        <v>3.5806199902226475E-3</v>
      </c>
      <c r="N16" s="295">
        <v>6.9925105059281105E-5</v>
      </c>
      <c r="O16" s="295">
        <v>3.6505450952819284E-3</v>
      </c>
      <c r="P16" s="309">
        <v>3.4802927180570447E-3</v>
      </c>
      <c r="Q16" s="309">
        <v>7.3604991890873156E-5</v>
      </c>
      <c r="R16" s="309">
        <v>3.5538977099479176E-3</v>
      </c>
      <c r="S16" s="295">
        <v>4.429314476707533E-3</v>
      </c>
      <c r="T16" s="295">
        <v>3.0407507784895405E-5</v>
      </c>
      <c r="U16" s="295">
        <v>4.4597219844924275E-3</v>
      </c>
    </row>
    <row r="17" spans="1:21">
      <c r="A17" s="363"/>
      <c r="B17" s="363"/>
      <c r="C17" s="364" t="s">
        <v>11</v>
      </c>
      <c r="D17" s="295">
        <v>3.7176945089666603E-2</v>
      </c>
      <c r="E17" s="295">
        <v>2.3765802726670286E-2</v>
      </c>
      <c r="F17" s="295">
        <v>6.0942747816336899E-2</v>
      </c>
      <c r="G17" s="295">
        <v>3.4688176740911771E-2</v>
      </c>
      <c r="H17" s="295">
        <v>5.7626068570669044E-3</v>
      </c>
      <c r="I17" s="295">
        <v>4.0450783597978671E-2</v>
      </c>
      <c r="J17" s="365">
        <v>2.3882813608734798E-2</v>
      </c>
      <c r="K17" s="365">
        <v>2.2960175036097173E-3</v>
      </c>
      <c r="L17" s="365">
        <v>2.6178831112344515E-2</v>
      </c>
      <c r="M17" s="295">
        <v>1.9853619085476219E-2</v>
      </c>
      <c r="N17" s="295">
        <v>8.1561610606169597E-3</v>
      </c>
      <c r="O17" s="295">
        <v>2.8009780146093177E-2</v>
      </c>
      <c r="P17" s="309">
        <v>2.1708205511549235E-2</v>
      </c>
      <c r="Q17" s="309">
        <v>2.0907742326657486E-2</v>
      </c>
      <c r="R17" s="309">
        <v>4.2615947838206721E-2</v>
      </c>
      <c r="S17" s="295">
        <v>1.7801482395498357E-2</v>
      </c>
      <c r="T17" s="295">
        <v>1.2008777798613883E-2</v>
      </c>
      <c r="U17" s="295">
        <v>2.9810260194112238E-2</v>
      </c>
    </row>
    <row r="18" spans="1:21" s="703" customFormat="1" ht="15">
      <c r="A18" s="743" t="s">
        <v>556</v>
      </c>
      <c r="B18" s="744"/>
      <c r="C18" s="744"/>
      <c r="D18" s="745">
        <v>0.12111918293783144</v>
      </c>
      <c r="E18" s="745">
        <v>5.726894020049287E-2</v>
      </c>
      <c r="F18" s="745">
        <v>0.17838812313832431</v>
      </c>
      <c r="G18" s="746">
        <v>0.10421895833282054</v>
      </c>
      <c r="H18" s="746">
        <v>6.6412184253212797E-2</v>
      </c>
      <c r="I18" s="746">
        <v>0.17063114258603335</v>
      </c>
      <c r="J18" s="747">
        <v>7.0328953410917688E-2</v>
      </c>
      <c r="K18" s="747">
        <v>4.5361074089842746E-2</v>
      </c>
      <c r="L18" s="747">
        <v>0.11569002750076043</v>
      </c>
      <c r="M18" s="746">
        <v>6.2028369256264829E-2</v>
      </c>
      <c r="N18" s="746">
        <v>3.6210065989253311E-2</v>
      </c>
      <c r="O18" s="746">
        <v>9.8238435245518133E-2</v>
      </c>
      <c r="P18" s="748">
        <v>5.6442352623482336E-2</v>
      </c>
      <c r="Q18" s="748">
        <v>6.5096618135464052E-2</v>
      </c>
      <c r="R18" s="748">
        <v>0.12153897075894642</v>
      </c>
      <c r="S18" s="746">
        <v>5.294303019412528E-2</v>
      </c>
      <c r="T18" s="746">
        <v>5.892626157074541E-2</v>
      </c>
      <c r="U18" s="746">
        <v>0.11186929176487072</v>
      </c>
    </row>
    <row r="19" spans="1:21">
      <c r="A19" s="361" t="s">
        <v>212</v>
      </c>
      <c r="B19" s="361"/>
      <c r="C19" s="362"/>
      <c r="D19" s="295"/>
      <c r="E19" s="295"/>
      <c r="F19" s="295"/>
      <c r="G19" s="295"/>
      <c r="H19" s="295"/>
      <c r="I19" s="295"/>
      <c r="J19" s="365"/>
      <c r="K19" s="365"/>
      <c r="L19" s="365"/>
      <c r="M19" s="295"/>
      <c r="N19" s="295"/>
      <c r="O19" s="295"/>
      <c r="P19" s="309"/>
      <c r="Q19" s="309"/>
      <c r="R19" s="309"/>
      <c r="S19" s="295"/>
      <c r="T19" s="295"/>
      <c r="U19" s="295"/>
    </row>
    <row r="20" spans="1:21">
      <c r="A20" s="363"/>
      <c r="B20" s="363"/>
      <c r="C20" s="364" t="s">
        <v>12</v>
      </c>
      <c r="D20" s="295">
        <v>1.1576844258112451E-2</v>
      </c>
      <c r="E20" s="295">
        <v>0</v>
      </c>
      <c r="F20" s="295">
        <v>1.1576844258112451E-2</v>
      </c>
      <c r="G20" s="295">
        <v>1.0317346104901457E-2</v>
      </c>
      <c r="H20" s="295">
        <v>0</v>
      </c>
      <c r="I20" s="295">
        <v>1.0317346104901457E-2</v>
      </c>
      <c r="J20" s="365">
        <v>7.5587848137339897E-3</v>
      </c>
      <c r="K20" s="365">
        <v>0</v>
      </c>
      <c r="L20" s="365">
        <v>7.5587848137339897E-3</v>
      </c>
      <c r="M20" s="295">
        <v>1.7895338796818526E-3</v>
      </c>
      <c r="N20" s="295">
        <v>0</v>
      </c>
      <c r="O20" s="295">
        <v>1.7895338796818526E-3</v>
      </c>
      <c r="P20" s="309">
        <v>1.3869658964159536E-3</v>
      </c>
      <c r="Q20" s="309">
        <v>2.9188042684479624E-5</v>
      </c>
      <c r="R20" s="309">
        <v>1.4161539391004333E-3</v>
      </c>
      <c r="S20" s="295">
        <v>7.5754619052446502E-4</v>
      </c>
      <c r="T20" s="295">
        <v>1.9144077018362213E-5</v>
      </c>
      <c r="U20" s="295">
        <v>7.7669026754282721E-4</v>
      </c>
    </row>
    <row r="21" spans="1:21">
      <c r="A21" s="363"/>
      <c r="B21" s="363"/>
      <c r="C21" s="364" t="s">
        <v>13</v>
      </c>
      <c r="D21" s="295">
        <v>5.6348305662487809E-3</v>
      </c>
      <c r="E21" s="295">
        <v>0.17996563426585513</v>
      </c>
      <c r="F21" s="295">
        <v>0.18560046483210388</v>
      </c>
      <c r="G21" s="295">
        <v>4.3257728291985322E-3</v>
      </c>
      <c r="H21" s="295">
        <v>0.12441991781267001</v>
      </c>
      <c r="I21" s="295">
        <v>0.12874569064186853</v>
      </c>
      <c r="J21" s="365">
        <v>2.2307365202267698E-2</v>
      </c>
      <c r="K21" s="365">
        <v>3.9468578366057799E-2</v>
      </c>
      <c r="L21" s="365">
        <v>6.1775943568325505E-2</v>
      </c>
      <c r="M21" s="295">
        <v>3.7000947121955926E-3</v>
      </c>
      <c r="N21" s="295">
        <v>2.9670061074322053E-2</v>
      </c>
      <c r="O21" s="295">
        <v>3.3370155786517655E-2</v>
      </c>
      <c r="P21" s="309">
        <v>4.19298924704266E-3</v>
      </c>
      <c r="Q21" s="309">
        <v>5.4310785499754731E-2</v>
      </c>
      <c r="R21" s="309">
        <v>5.8503774746797382E-2</v>
      </c>
      <c r="S21" s="295">
        <v>4.0798772386061201E-3</v>
      </c>
      <c r="T21" s="295">
        <v>2.0552094357674883E-2</v>
      </c>
      <c r="U21" s="295">
        <v>2.4631971596280999E-2</v>
      </c>
    </row>
    <row r="22" spans="1:21">
      <c r="A22" s="363"/>
      <c r="B22" s="363"/>
      <c r="C22" s="364" t="s">
        <v>14</v>
      </c>
      <c r="D22" s="295">
        <v>9.2567409840125531E-3</v>
      </c>
      <c r="E22" s="295">
        <v>2.9453036982455855E-2</v>
      </c>
      <c r="F22" s="295">
        <v>3.8709777966468406E-2</v>
      </c>
      <c r="G22" s="295">
        <v>2.0177882402459466E-2</v>
      </c>
      <c r="H22" s="295">
        <v>8.4738196629310286E-2</v>
      </c>
      <c r="I22" s="295">
        <v>0.10491607903176975</v>
      </c>
      <c r="J22" s="365">
        <v>1.3076684190932298E-2</v>
      </c>
      <c r="K22" s="365">
        <v>7.1288886312648916E-2</v>
      </c>
      <c r="L22" s="365">
        <v>8.4365570503580983E-2</v>
      </c>
      <c r="M22" s="295">
        <v>2.2703422057644373E-2</v>
      </c>
      <c r="N22" s="295">
        <v>5.8090222951993835E-2</v>
      </c>
      <c r="O22" s="295">
        <v>8.079364500963819E-2</v>
      </c>
      <c r="P22" s="309">
        <v>1.1092575813957518E-2</v>
      </c>
      <c r="Q22" s="309">
        <v>6.3763341263541079E-2</v>
      </c>
      <c r="R22" s="309">
        <v>7.4855917077498599E-2</v>
      </c>
      <c r="S22" s="295">
        <v>1.2661001905270756E-2</v>
      </c>
      <c r="T22" s="295">
        <v>6.5423153020783081E-2</v>
      </c>
      <c r="U22" s="295">
        <v>7.8084154926053834E-2</v>
      </c>
    </row>
    <row r="23" spans="1:21">
      <c r="A23" s="363"/>
      <c r="B23" s="363"/>
      <c r="C23" s="364" t="s">
        <v>15</v>
      </c>
      <c r="D23" s="295">
        <v>4.7776072304797053E-3</v>
      </c>
      <c r="E23" s="295">
        <v>0</v>
      </c>
      <c r="F23" s="295">
        <v>4.7776072304797053E-3</v>
      </c>
      <c r="G23" s="295">
        <v>0</v>
      </c>
      <c r="H23" s="295">
        <v>0</v>
      </c>
      <c r="I23" s="295">
        <v>0</v>
      </c>
      <c r="J23" s="365">
        <v>3.4474021239444485E-3</v>
      </c>
      <c r="K23" s="365">
        <v>0</v>
      </c>
      <c r="L23" s="365">
        <v>3.4474021239444485E-3</v>
      </c>
      <c r="M23" s="295">
        <v>1.4775443827219161E-3</v>
      </c>
      <c r="N23" s="295">
        <v>0</v>
      </c>
      <c r="O23" s="295">
        <v>1.4775443827219161E-3</v>
      </c>
      <c r="P23" s="309">
        <v>1.2742719092047375E-3</v>
      </c>
      <c r="Q23" s="309">
        <v>0</v>
      </c>
      <c r="R23" s="309">
        <v>1.2742719092047375E-3</v>
      </c>
      <c r="S23" s="295">
        <v>1.753863966539634E-3</v>
      </c>
      <c r="T23" s="295">
        <v>0</v>
      </c>
      <c r="U23" s="295">
        <v>1.753863966539634E-3</v>
      </c>
    </row>
    <row r="24" spans="1:21" s="703" customFormat="1" ht="15">
      <c r="A24" s="749"/>
      <c r="B24" s="743" t="s">
        <v>557</v>
      </c>
      <c r="C24" s="744"/>
      <c r="D24" s="745">
        <v>3.1246023038853488E-2</v>
      </c>
      <c r="E24" s="745">
        <v>0.20941867124831104</v>
      </c>
      <c r="F24" s="745">
        <v>0.24066469428716447</v>
      </c>
      <c r="G24" s="746">
        <v>3.4821001336559458E-2</v>
      </c>
      <c r="H24" s="746">
        <v>0.20915811444198029</v>
      </c>
      <c r="I24" s="746">
        <v>0.24397911577853978</v>
      </c>
      <c r="J24" s="747">
        <v>4.6390236330878437E-2</v>
      </c>
      <c r="K24" s="747">
        <v>0.11075746467870672</v>
      </c>
      <c r="L24" s="747">
        <v>0.15714770100958492</v>
      </c>
      <c r="M24" s="746">
        <v>2.9670595032243736E-2</v>
      </c>
      <c r="N24" s="746">
        <v>8.7760284026315874E-2</v>
      </c>
      <c r="O24" s="746">
        <v>0.11743087905855962</v>
      </c>
      <c r="P24" s="748">
        <v>1.794680286662087E-2</v>
      </c>
      <c r="Q24" s="748">
        <v>0.11810331480598031</v>
      </c>
      <c r="R24" s="748">
        <v>0.13605011767260114</v>
      </c>
      <c r="S24" s="746">
        <v>1.9252289300940972E-2</v>
      </c>
      <c r="T24" s="746">
        <v>8.5994391455476313E-2</v>
      </c>
      <c r="U24" s="746">
        <v>0.10524668075641729</v>
      </c>
    </row>
    <row r="25" spans="1:21" ht="16.5">
      <c r="A25" s="372" t="s">
        <v>568</v>
      </c>
      <c r="B25" s="366"/>
      <c r="C25" s="366"/>
      <c r="D25" s="368">
        <v>0.1523652059766849</v>
      </c>
      <c r="E25" s="368">
        <v>0.26668761144880382</v>
      </c>
      <c r="F25" s="368">
        <v>0.41905281742548872</v>
      </c>
      <c r="G25" s="369">
        <v>0.13903995966937999</v>
      </c>
      <c r="H25" s="369">
        <v>0.27557029869519306</v>
      </c>
      <c r="I25" s="369">
        <v>0.4146102583645731</v>
      </c>
      <c r="J25" s="370">
        <v>0.1167191897417959</v>
      </c>
      <c r="K25" s="370">
        <v>0.1561185387685495</v>
      </c>
      <c r="L25" s="370">
        <v>0.27283772851034538</v>
      </c>
      <c r="M25" s="369">
        <v>9.1698964288508572E-2</v>
      </c>
      <c r="N25" s="369">
        <v>0.12397035001556921</v>
      </c>
      <c r="O25" s="369">
        <v>0.21566931430407774</v>
      </c>
      <c r="P25" s="371">
        <v>7.4389155490103206E-2</v>
      </c>
      <c r="Q25" s="371">
        <v>0.18319993294144435</v>
      </c>
      <c r="R25" s="371">
        <v>0.25758908843154754</v>
      </c>
      <c r="S25" s="369">
        <v>7.2195319495066274E-2</v>
      </c>
      <c r="T25" s="369">
        <v>0.1449206530262217</v>
      </c>
      <c r="U25" s="369">
        <v>0.217115972521288</v>
      </c>
    </row>
    <row r="26" spans="1:21">
      <c r="A26" s="373" t="s">
        <v>595</v>
      </c>
      <c r="B26" s="363"/>
      <c r="C26" s="363"/>
      <c r="D26" s="330"/>
      <c r="E26" s="330"/>
      <c r="F26" s="330"/>
      <c r="G26" s="330"/>
      <c r="H26" s="330"/>
      <c r="I26" s="330"/>
      <c r="J26" s="330"/>
      <c r="K26" s="330"/>
      <c r="L26" s="330"/>
      <c r="M26" s="330"/>
      <c r="N26" s="330"/>
      <c r="O26" s="330"/>
      <c r="P26" s="330"/>
      <c r="Q26" s="330"/>
      <c r="R26" s="330"/>
      <c r="S26" s="330"/>
      <c r="T26" s="330"/>
      <c r="U26" s="330"/>
    </row>
    <row r="27" spans="1:21">
      <c r="A27" s="363" t="s">
        <v>214</v>
      </c>
      <c r="B27" s="367"/>
      <c r="C27" s="367"/>
      <c r="D27" s="330"/>
      <c r="E27" s="330"/>
      <c r="F27" s="330"/>
      <c r="G27" s="330"/>
      <c r="H27" s="330"/>
      <c r="I27" s="330"/>
      <c r="J27" s="330"/>
      <c r="K27" s="330"/>
      <c r="L27" s="330"/>
      <c r="M27" s="330"/>
      <c r="N27" s="330"/>
      <c r="O27" s="330"/>
      <c r="P27" s="330"/>
      <c r="Q27" s="330"/>
      <c r="R27" s="330"/>
      <c r="S27" s="330"/>
      <c r="T27" s="330"/>
      <c r="U27" s="330"/>
    </row>
    <row r="29" spans="1:21">
      <c r="A29" s="40" t="s">
        <v>170</v>
      </c>
    </row>
  </sheetData>
  <mergeCells count="6">
    <mergeCell ref="A3:U3"/>
    <mergeCell ref="A9:C10"/>
    <mergeCell ref="A4:U4"/>
    <mergeCell ref="A5:U5"/>
    <mergeCell ref="A6:U6"/>
    <mergeCell ref="A7:U7"/>
  </mergeCells>
  <hyperlinks>
    <hyperlink ref="C1" location="Indice!A1" display="Cuadro 4.3 Gasto ambiental de la administración central del gobierno como porcentaje del PIB 24/434."/>
  </hyperlinks>
  <pageMargins left="0.7" right="0.7" top="0.75" bottom="0.75" header="0.3" footer="0.3"/>
  <pageSetup scale="54" orientation="portrait" r:id="rId1"/>
</worksheet>
</file>

<file path=xl/worksheets/sheet31.xml><?xml version="1.0" encoding="utf-8"?>
<worksheet xmlns="http://schemas.openxmlformats.org/spreadsheetml/2006/main" xmlns:r="http://schemas.openxmlformats.org/officeDocument/2006/relationships">
  <sheetPr>
    <tabColor theme="3" tint="0.39997558519241921"/>
    <pageSetUpPr fitToPage="1"/>
  </sheetPr>
  <dimension ref="A1:T54"/>
  <sheetViews>
    <sheetView topLeftCell="A2" workbookViewId="0">
      <selection activeCell="A2" sqref="A2"/>
    </sheetView>
  </sheetViews>
  <sheetFormatPr baseColWidth="10" defaultRowHeight="12.75"/>
  <cols>
    <col min="1" max="1" width="55.83203125" style="50" customWidth="1"/>
    <col min="2" max="16384" width="12" style="49"/>
  </cols>
  <sheetData>
    <row r="1" spans="1:13" hidden="1">
      <c r="A1" s="8" t="s">
        <v>319</v>
      </c>
      <c r="B1" s="1"/>
      <c r="C1" s="1"/>
      <c r="D1" s="1"/>
      <c r="E1" s="1"/>
      <c r="F1" s="1"/>
      <c r="G1" s="1"/>
    </row>
    <row r="2" spans="1:13">
      <c r="A2" s="19" t="s">
        <v>195</v>
      </c>
      <c r="B2" s="19"/>
      <c r="C2" s="105"/>
      <c r="D2" s="19"/>
      <c r="E2" s="19"/>
      <c r="F2" s="19"/>
      <c r="G2" s="19"/>
    </row>
    <row r="3" spans="1:13">
      <c r="A3" s="19" t="s">
        <v>247</v>
      </c>
      <c r="B3" s="27"/>
      <c r="C3" s="27"/>
      <c r="D3" s="27"/>
      <c r="E3" s="27"/>
      <c r="F3" s="27"/>
      <c r="G3" s="27"/>
    </row>
    <row r="4" spans="1:13">
      <c r="A4" s="113" t="s">
        <v>17</v>
      </c>
      <c r="B4" s="27"/>
      <c r="C4" s="27"/>
      <c r="D4" s="27"/>
      <c r="E4" s="27"/>
      <c r="F4" s="27"/>
      <c r="G4" s="27"/>
    </row>
    <row r="5" spans="1:13">
      <c r="A5" s="90" t="s">
        <v>3</v>
      </c>
      <c r="B5" s="124"/>
      <c r="C5" s="124"/>
      <c r="D5" s="124"/>
      <c r="E5" s="124"/>
      <c r="F5" s="124"/>
      <c r="G5" s="124"/>
    </row>
    <row r="6" spans="1:13">
      <c r="A6" s="18" t="s">
        <v>29</v>
      </c>
      <c r="B6" s="124"/>
      <c r="C6" s="124"/>
      <c r="D6" s="124"/>
      <c r="E6" s="124"/>
      <c r="F6" s="124"/>
      <c r="G6" s="124"/>
    </row>
    <row r="7" spans="1:13">
      <c r="A7" s="49"/>
      <c r="B7" s="124"/>
      <c r="C7" s="124"/>
      <c r="D7" s="124"/>
      <c r="E7" s="124"/>
      <c r="F7" s="124"/>
      <c r="G7" s="124"/>
      <c r="H7" s="82"/>
    </row>
    <row r="8" spans="1:13">
      <c r="A8" s="628" t="s">
        <v>555</v>
      </c>
      <c r="B8" s="740">
        <v>2001</v>
      </c>
      <c r="C8" s="740">
        <v>2002</v>
      </c>
      <c r="D8" s="740">
        <v>2003</v>
      </c>
      <c r="E8" s="740">
        <v>2004</v>
      </c>
      <c r="F8" s="740">
        <v>2005</v>
      </c>
      <c r="G8" s="740">
        <v>2006</v>
      </c>
    </row>
    <row r="9" spans="1:13">
      <c r="A9" s="29" t="s">
        <v>262</v>
      </c>
      <c r="H9" s="141"/>
      <c r="I9" s="141"/>
      <c r="J9" s="141"/>
      <c r="K9" s="141"/>
      <c r="L9" s="141"/>
      <c r="M9" s="141"/>
    </row>
    <row r="10" spans="1:13">
      <c r="A10" s="820" t="s">
        <v>164</v>
      </c>
      <c r="B10" s="141">
        <v>0.25062068190457998</v>
      </c>
      <c r="C10" s="141">
        <v>0.45093189683029139</v>
      </c>
      <c r="D10" s="141">
        <v>0</v>
      </c>
      <c r="E10" s="141">
        <v>0.15074184453930986</v>
      </c>
      <c r="F10" s="141">
        <v>1.067617974442332</v>
      </c>
      <c r="G10" s="141">
        <v>11.735072473943092</v>
      </c>
      <c r="H10" s="141"/>
      <c r="I10" s="141"/>
      <c r="J10" s="141"/>
      <c r="K10" s="141"/>
      <c r="L10" s="141"/>
      <c r="M10" s="141"/>
    </row>
    <row r="11" spans="1:13">
      <c r="A11" s="820" t="s">
        <v>161</v>
      </c>
      <c r="B11" s="141">
        <v>0.80838360476432558</v>
      </c>
      <c r="C11" s="141">
        <v>0.71389599331099218</v>
      </c>
      <c r="D11" s="141">
        <v>0.75428850444272688</v>
      </c>
      <c r="E11" s="141">
        <v>1.0547338378448304E-2</v>
      </c>
      <c r="F11" s="141">
        <v>0.50933923887598798</v>
      </c>
      <c r="G11" s="141">
        <v>2.8624309846324913</v>
      </c>
      <c r="H11" s="141"/>
      <c r="I11" s="141"/>
      <c r="J11" s="141"/>
      <c r="K11" s="141"/>
      <c r="L11" s="141"/>
      <c r="M11" s="141"/>
    </row>
    <row r="12" spans="1:13" ht="25.5">
      <c r="A12" s="142" t="s">
        <v>8</v>
      </c>
      <c r="B12" s="141">
        <v>0</v>
      </c>
      <c r="C12" s="141">
        <v>0.17323169951276396</v>
      </c>
      <c r="D12" s="141">
        <v>0</v>
      </c>
      <c r="E12" s="141">
        <v>0</v>
      </c>
      <c r="F12" s="141">
        <v>0</v>
      </c>
      <c r="G12" s="141">
        <v>0</v>
      </c>
      <c r="H12" s="141"/>
      <c r="I12" s="141"/>
      <c r="J12" s="141"/>
      <c r="K12" s="141"/>
      <c r="L12" s="141"/>
      <c r="M12" s="141"/>
    </row>
    <row r="13" spans="1:13">
      <c r="A13" s="50" t="s">
        <v>9</v>
      </c>
      <c r="B13" s="141">
        <v>13.368379764551982</v>
      </c>
      <c r="C13" s="141">
        <v>15.993316086205905</v>
      </c>
      <c r="D13" s="141">
        <v>11.452498640013928</v>
      </c>
      <c r="E13" s="141">
        <v>10.089949398467059</v>
      </c>
      <c r="F13" s="141">
        <v>11.043404062214014</v>
      </c>
      <c r="G13" s="141">
        <v>13.538766719901494</v>
      </c>
      <c r="H13" s="141"/>
      <c r="I13" s="141"/>
      <c r="J13" s="141"/>
      <c r="K13" s="141"/>
      <c r="L13" s="141"/>
      <c r="M13" s="141"/>
    </row>
    <row r="14" spans="1:13">
      <c r="A14" s="50" t="s">
        <v>10</v>
      </c>
      <c r="B14" s="141">
        <v>0.75219435994423733</v>
      </c>
      <c r="C14" s="141">
        <v>0.74384076935209553</v>
      </c>
      <c r="D14" s="141">
        <v>0.7365918730588229</v>
      </c>
      <c r="E14" s="141">
        <v>0.56208577746515309</v>
      </c>
      <c r="F14" s="141">
        <v>0.58126909169960406</v>
      </c>
      <c r="G14" s="141">
        <v>0.78647978772364113</v>
      </c>
      <c r="H14" s="141"/>
      <c r="I14" s="141"/>
      <c r="J14" s="141"/>
      <c r="K14" s="141"/>
      <c r="L14" s="141"/>
      <c r="M14" s="141"/>
    </row>
    <row r="15" spans="1:13">
      <c r="A15" s="50" t="s">
        <v>11</v>
      </c>
      <c r="B15" s="141">
        <v>7.876727512971379</v>
      </c>
      <c r="C15" s="141">
        <v>5.616489880620076</v>
      </c>
      <c r="D15" s="141">
        <v>3.7854765324805051</v>
      </c>
      <c r="E15" s="141">
        <v>4.3127529284305162</v>
      </c>
      <c r="F15" s="141">
        <v>6.9741081518740007</v>
      </c>
      <c r="G15" s="141">
        <v>5.5498059054286175</v>
      </c>
      <c r="H15" s="141"/>
      <c r="I15" s="141"/>
      <c r="J15" s="141"/>
      <c r="K15" s="141"/>
      <c r="L15" s="141"/>
      <c r="M15" s="141"/>
    </row>
    <row r="16" spans="1:13" s="635" customFormat="1" ht="15">
      <c r="A16" s="713" t="s">
        <v>556</v>
      </c>
      <c r="B16" s="702">
        <v>23.056305924136502</v>
      </c>
      <c r="C16" s="702">
        <v>23.691706325832122</v>
      </c>
      <c r="D16" s="702">
        <v>16.728855549995984</v>
      </c>
      <c r="E16" s="702">
        <v>15.126077287280488</v>
      </c>
      <c r="F16" s="702">
        <v>20.175738519105938</v>
      </c>
      <c r="G16" s="702">
        <v>34.472555871629332</v>
      </c>
      <c r="H16" s="741"/>
      <c r="I16" s="742"/>
      <c r="J16" s="741"/>
      <c r="K16" s="741"/>
      <c r="L16" s="741"/>
      <c r="M16" s="741"/>
    </row>
    <row r="17" spans="1:13">
      <c r="A17" s="29" t="s">
        <v>263</v>
      </c>
      <c r="F17" s="82"/>
      <c r="H17" s="141"/>
      <c r="I17" s="141"/>
      <c r="J17" s="141"/>
      <c r="K17" s="141"/>
      <c r="L17" s="141"/>
      <c r="M17" s="141"/>
    </row>
    <row r="18" spans="1:13">
      <c r="A18" s="143" t="s">
        <v>12</v>
      </c>
      <c r="B18" s="141">
        <v>1.4962838229098434</v>
      </c>
      <c r="C18" s="141">
        <v>1.4325376380577612</v>
      </c>
      <c r="D18" s="141">
        <v>1.0930053524417072</v>
      </c>
      <c r="E18" s="141">
        <v>0.27554009491931047</v>
      </c>
      <c r="F18" s="87">
        <v>0.23162358094425536</v>
      </c>
      <c r="G18" s="141">
        <v>0.13697068984752497</v>
      </c>
      <c r="H18" s="141"/>
      <c r="I18" s="141"/>
      <c r="J18" s="141"/>
      <c r="K18" s="141"/>
      <c r="L18" s="141"/>
      <c r="M18" s="141"/>
    </row>
    <row r="19" spans="1:13">
      <c r="A19" s="50" t="s">
        <v>13</v>
      </c>
      <c r="B19" s="141">
        <v>23.988486573810384</v>
      </c>
      <c r="C19" s="141">
        <v>17.876016342477744</v>
      </c>
      <c r="D19" s="141">
        <v>8.9328428624708369</v>
      </c>
      <c r="E19" s="141">
        <v>5.1381066306070302</v>
      </c>
      <c r="F19" s="87">
        <v>10.27805316767831</v>
      </c>
      <c r="G19" s="141">
        <v>35.849060316330537</v>
      </c>
      <c r="H19" s="141"/>
      <c r="I19" s="141"/>
      <c r="J19" s="141"/>
      <c r="K19" s="141"/>
      <c r="L19" s="141"/>
      <c r="M19" s="141"/>
    </row>
    <row r="20" spans="1:13">
      <c r="A20" s="50" t="s">
        <v>14</v>
      </c>
      <c r="B20" s="141">
        <v>5.0031609019073287</v>
      </c>
      <c r="C20" s="141">
        <v>14.567334518229615</v>
      </c>
      <c r="D20" s="141">
        <v>12.199318064282927</v>
      </c>
      <c r="E20" s="141">
        <v>12.440048700721192</v>
      </c>
      <c r="F20" s="141">
        <v>12.267729417899659</v>
      </c>
      <c r="G20" s="141">
        <v>13.932980026889036</v>
      </c>
      <c r="H20" s="141"/>
      <c r="I20" s="141"/>
      <c r="J20" s="141"/>
      <c r="K20" s="141"/>
      <c r="L20" s="141"/>
      <c r="M20" s="141"/>
    </row>
    <row r="21" spans="1:13">
      <c r="A21" s="143" t="s">
        <v>15</v>
      </c>
      <c r="B21" s="141">
        <v>0.6174961199961273</v>
      </c>
      <c r="C21" s="141">
        <v>0</v>
      </c>
      <c r="D21" s="141">
        <v>0.49849665870152088</v>
      </c>
      <c r="E21" s="141">
        <v>0.22750210213123767</v>
      </c>
      <c r="F21" s="141">
        <v>0.20841761234951611</v>
      </c>
      <c r="G21" s="141">
        <v>0.30929698418347157</v>
      </c>
      <c r="H21" s="141"/>
      <c r="I21" s="141"/>
      <c r="J21" s="141"/>
      <c r="K21" s="141"/>
      <c r="L21" s="141"/>
      <c r="M21" s="141"/>
    </row>
    <row r="22" spans="1:13" s="635" customFormat="1">
      <c r="A22" s="713" t="s">
        <v>557</v>
      </c>
      <c r="B22" s="702">
        <v>31.105427418623687</v>
      </c>
      <c r="C22" s="702">
        <v>33.875888498765121</v>
      </c>
      <c r="D22" s="702">
        <v>22.723662937896993</v>
      </c>
      <c r="E22" s="702">
        <v>18.08119752837877</v>
      </c>
      <c r="F22" s="702">
        <v>22.98582377887174</v>
      </c>
      <c r="G22" s="702">
        <v>50.228308017250562</v>
      </c>
      <c r="H22" s="741"/>
      <c r="I22" s="741"/>
      <c r="J22" s="741"/>
      <c r="K22" s="741"/>
      <c r="L22" s="741"/>
      <c r="M22" s="741"/>
    </row>
    <row r="23" spans="1:13">
      <c r="A23" s="139" t="s">
        <v>571</v>
      </c>
      <c r="B23" s="15">
        <v>54.161733342760186</v>
      </c>
      <c r="C23" s="15">
        <v>57.567594824597244</v>
      </c>
      <c r="D23" s="15">
        <v>39.452518487892974</v>
      </c>
      <c r="E23" s="15">
        <v>33.207274815659261</v>
      </c>
      <c r="F23" s="15">
        <v>43.161562297977667</v>
      </c>
      <c r="G23" s="15">
        <v>84.700863888879894</v>
      </c>
      <c r="H23" s="141"/>
      <c r="I23" s="141"/>
      <c r="J23" s="141"/>
      <c r="K23" s="141"/>
      <c r="L23" s="141"/>
      <c r="M23" s="141"/>
    </row>
    <row r="24" spans="1:13">
      <c r="A24" s="373" t="s">
        <v>238</v>
      </c>
      <c r="B24" s="87"/>
      <c r="C24" s="87"/>
      <c r="D24" s="87"/>
      <c r="E24" s="87"/>
      <c r="F24" s="87"/>
      <c r="G24" s="87"/>
      <c r="H24" s="141"/>
      <c r="I24" s="141"/>
      <c r="J24" s="141"/>
      <c r="K24" s="141"/>
      <c r="L24" s="141"/>
      <c r="M24" s="141"/>
    </row>
    <row r="26" spans="1:13">
      <c r="A26" s="40" t="s">
        <v>170</v>
      </c>
    </row>
    <row r="36" spans="8:13" ht="15">
      <c r="I36" s="145"/>
    </row>
    <row r="45" spans="8:13">
      <c r="H45" s="141"/>
      <c r="I45" s="141"/>
      <c r="J45" s="141"/>
      <c r="K45" s="141"/>
      <c r="L45" s="141"/>
      <c r="M45" s="141"/>
    </row>
    <row r="46" spans="8:13">
      <c r="H46" s="141"/>
      <c r="I46" s="141"/>
      <c r="J46" s="141"/>
      <c r="K46" s="141"/>
      <c r="L46" s="141"/>
      <c r="M46" s="141"/>
    </row>
    <row r="54" spans="1:20">
      <c r="A54" s="340"/>
      <c r="B54" s="340"/>
      <c r="C54" s="340"/>
      <c r="D54" s="340"/>
      <c r="E54" s="374"/>
      <c r="F54" s="340"/>
      <c r="G54" s="340"/>
      <c r="H54" s="340"/>
      <c r="I54" s="340"/>
      <c r="J54" s="341"/>
      <c r="K54" s="341"/>
      <c r="L54" s="341"/>
      <c r="M54" s="341"/>
      <c r="N54" s="341"/>
      <c r="O54" s="341"/>
      <c r="P54" s="341"/>
      <c r="Q54" s="341"/>
      <c r="R54" s="341"/>
      <c r="S54" s="341"/>
      <c r="T54" s="341"/>
    </row>
  </sheetData>
  <hyperlinks>
    <hyperlink ref="A1" location="Indice!A1" display="Cuadro 4.4 Gasto ambiental per cápita 25/"/>
  </hyperlinks>
  <pageMargins left="0.7" right="0.7" top="0.75" bottom="0.75" header="0.3" footer="0.3"/>
  <pageSetup scale="87" orientation="portrait" r:id="rId1"/>
</worksheet>
</file>

<file path=xl/worksheets/sheet32.xml><?xml version="1.0" encoding="utf-8"?>
<worksheet xmlns="http://schemas.openxmlformats.org/spreadsheetml/2006/main" xmlns:r="http://schemas.openxmlformats.org/officeDocument/2006/relationships">
  <sheetPr>
    <tabColor theme="3" tint="0.39997558519241921"/>
    <pageSetUpPr fitToPage="1"/>
  </sheetPr>
  <dimension ref="A1:H28"/>
  <sheetViews>
    <sheetView showGridLines="0" topLeftCell="A2" workbookViewId="0">
      <selection activeCell="A2" sqref="A2"/>
    </sheetView>
  </sheetViews>
  <sheetFormatPr baseColWidth="10" defaultRowHeight="12.75"/>
  <cols>
    <col min="1" max="1" width="1.33203125" style="398" customWidth="1"/>
    <col min="2" max="2" width="68.6640625" customWidth="1"/>
    <col min="3" max="3" width="6" customWidth="1"/>
  </cols>
  <sheetData>
    <row r="1" spans="1:8" hidden="1">
      <c r="B1" s="8" t="s">
        <v>320</v>
      </c>
      <c r="C1" s="49"/>
      <c r="D1" s="49"/>
      <c r="E1" s="49"/>
      <c r="F1" s="49"/>
      <c r="G1" s="49"/>
      <c r="H1" s="49"/>
    </row>
    <row r="2" spans="1:8">
      <c r="B2" s="19" t="s">
        <v>196</v>
      </c>
      <c r="C2" s="19"/>
      <c r="D2" s="105"/>
      <c r="E2" s="19"/>
      <c r="F2" s="19"/>
      <c r="G2" s="19"/>
      <c r="H2" s="19"/>
    </row>
    <row r="3" spans="1:8">
      <c r="A3" s="550" t="s">
        <v>182</v>
      </c>
      <c r="B3" s="550"/>
      <c r="C3" s="550"/>
      <c r="D3" s="550"/>
      <c r="E3" s="550"/>
      <c r="F3" s="550"/>
      <c r="G3" s="550"/>
      <c r="H3" s="550"/>
    </row>
    <row r="4" spans="1:8">
      <c r="A4" s="552" t="s">
        <v>17</v>
      </c>
      <c r="B4" s="552"/>
      <c r="C4" s="552"/>
      <c r="D4" s="552"/>
      <c r="E4" s="552"/>
      <c r="F4" s="552"/>
      <c r="G4" s="552"/>
      <c r="H4" s="552"/>
    </row>
    <row r="5" spans="1:8">
      <c r="A5" s="546" t="s">
        <v>3</v>
      </c>
      <c r="B5" s="546"/>
      <c r="C5" s="546"/>
      <c r="D5" s="546"/>
      <c r="E5" s="546"/>
      <c r="F5" s="546"/>
      <c r="G5" s="546"/>
      <c r="H5" s="546"/>
    </row>
    <row r="6" spans="1:8" s="529" customFormat="1">
      <c r="A6" s="704" t="s">
        <v>28</v>
      </c>
      <c r="B6" s="704"/>
      <c r="C6" s="704"/>
      <c r="D6" s="704"/>
      <c r="E6" s="704"/>
      <c r="F6" s="704"/>
      <c r="G6" s="704"/>
      <c r="H6" s="704"/>
    </row>
    <row r="8" spans="1:8">
      <c r="A8" s="622" t="s">
        <v>555</v>
      </c>
      <c r="B8" s="622"/>
      <c r="C8" s="781">
        <v>2001</v>
      </c>
      <c r="D8" s="698">
        <v>2002</v>
      </c>
      <c r="E8" s="698">
        <v>2003</v>
      </c>
      <c r="F8" s="698">
        <v>2004</v>
      </c>
      <c r="G8" s="698">
        <v>2005</v>
      </c>
      <c r="H8" s="698">
        <v>2006</v>
      </c>
    </row>
    <row r="9" spans="1:8">
      <c r="A9" s="29" t="s">
        <v>262</v>
      </c>
      <c r="C9" s="144"/>
      <c r="D9" s="49"/>
      <c r="E9" s="49"/>
      <c r="F9" s="49"/>
      <c r="G9" s="49"/>
      <c r="H9" s="49"/>
    </row>
    <row r="10" spans="1:8">
      <c r="B10" s="820" t="s">
        <v>164</v>
      </c>
      <c r="C10" s="141">
        <v>0</v>
      </c>
      <c r="D10" s="141">
        <v>0</v>
      </c>
      <c r="E10" s="141">
        <v>0</v>
      </c>
      <c r="F10" s="141">
        <v>1.8657060735422532E-2</v>
      </c>
      <c r="G10" s="141">
        <v>0.33153102949141577</v>
      </c>
      <c r="H10" s="141">
        <v>0.34078610373102619</v>
      </c>
    </row>
    <row r="11" spans="1:8">
      <c r="B11" s="820" t="s">
        <v>161</v>
      </c>
      <c r="C11" s="141">
        <v>0.73475151223200408</v>
      </c>
      <c r="D11" s="141">
        <v>0.10584085171725374</v>
      </c>
      <c r="E11" s="141">
        <v>1.0838455594208433E-2</v>
      </c>
      <c r="F11" s="141">
        <v>0.52301991688496485</v>
      </c>
      <c r="G11" s="141">
        <v>2.9373038438859354</v>
      </c>
      <c r="H11" s="141">
        <v>4.810305761100703</v>
      </c>
    </row>
    <row r="12" spans="1:8" ht="24" customHeight="1">
      <c r="B12" s="142" t="s">
        <v>8</v>
      </c>
      <c r="C12" s="141">
        <v>0.17829243247773191</v>
      </c>
      <c r="D12" s="141">
        <v>0</v>
      </c>
      <c r="E12" s="141">
        <v>0</v>
      </c>
      <c r="F12" s="141">
        <v>0</v>
      </c>
      <c r="G12" s="141">
        <v>0</v>
      </c>
      <c r="H12" s="141">
        <v>0.15556876323485427</v>
      </c>
    </row>
    <row r="13" spans="1:8">
      <c r="B13" s="50" t="s">
        <v>9</v>
      </c>
      <c r="C13" s="141">
        <v>16.46053947640679</v>
      </c>
      <c r="D13" s="141">
        <v>11.777571536229017</v>
      </c>
      <c r="E13" s="141">
        <v>10.36844221538894</v>
      </c>
      <c r="F13" s="141">
        <v>11.340026123831702</v>
      </c>
      <c r="G13" s="141">
        <v>13.892901432852325</v>
      </c>
      <c r="H13" s="141">
        <v>70.480115790229519</v>
      </c>
    </row>
    <row r="14" spans="1:8">
      <c r="B14" s="50" t="s">
        <v>10</v>
      </c>
      <c r="C14" s="141">
        <v>0.7655710849510019</v>
      </c>
      <c r="D14" s="141">
        <v>0.75749962961311101</v>
      </c>
      <c r="E14" s="141">
        <v>0.57759991389301046</v>
      </c>
      <c r="F14" s="141">
        <v>0.59688178099026556</v>
      </c>
      <c r="G14" s="141">
        <v>0.80705180876731053</v>
      </c>
      <c r="H14" s="141">
        <v>3.89095005133961</v>
      </c>
    </row>
    <row r="15" spans="1:8">
      <c r="B15" s="50" t="s">
        <v>11</v>
      </c>
      <c r="C15" s="141">
        <v>5.780568138619091</v>
      </c>
      <c r="D15" s="141">
        <v>3.892925208847795</v>
      </c>
      <c r="E15" s="141">
        <v>4.4317892748277714</v>
      </c>
      <c r="F15" s="141">
        <v>7.161430315067479</v>
      </c>
      <c r="G15" s="141">
        <v>5.694972667063027</v>
      </c>
      <c r="H15" s="141">
        <v>31.851675372293169</v>
      </c>
    </row>
    <row r="16" spans="1:8" s="703" customFormat="1">
      <c r="A16" s="713" t="s">
        <v>556</v>
      </c>
      <c r="C16" s="702">
        <v>23.919722644686619</v>
      </c>
      <c r="D16" s="702">
        <v>16.533837226407176</v>
      </c>
      <c r="E16" s="702">
        <v>15.38866985970393</v>
      </c>
      <c r="F16" s="702">
        <v>19.640015197509832</v>
      </c>
      <c r="G16" s="702">
        <v>23.663760782060013</v>
      </c>
      <c r="H16" s="702">
        <v>111.52940184192886</v>
      </c>
    </row>
    <row r="17" spans="1:8">
      <c r="A17" s="29" t="s">
        <v>263</v>
      </c>
      <c r="C17" s="49"/>
      <c r="D17" s="49"/>
      <c r="E17" s="49"/>
      <c r="F17" s="49"/>
      <c r="G17" s="49"/>
      <c r="H17" s="49"/>
    </row>
    <row r="18" spans="1:8">
      <c r="B18" s="143" t="s">
        <v>12</v>
      </c>
      <c r="C18" s="141">
        <v>1.4743873137745436</v>
      </c>
      <c r="D18" s="141">
        <v>1.1240297102403987</v>
      </c>
      <c r="E18" s="141">
        <v>0.28314528045380483</v>
      </c>
      <c r="F18" s="141">
        <v>0.23784491122538082</v>
      </c>
      <c r="G18" s="141">
        <v>0.14055344423980862</v>
      </c>
      <c r="H18" s="141">
        <v>4.225659241720634</v>
      </c>
    </row>
    <row r="19" spans="1:8">
      <c r="B19" s="50" t="s">
        <v>13</v>
      </c>
      <c r="C19" s="141">
        <v>18.39824030865212</v>
      </c>
      <c r="D19" s="141">
        <v>9.1863967105884861</v>
      </c>
      <c r="E19" s="141">
        <v>5.2799235746464275</v>
      </c>
      <c r="F19" s="141">
        <v>6.5238001730215691</v>
      </c>
      <c r="G19" s="141">
        <v>2.9100640433755509</v>
      </c>
      <c r="H19" s="141">
        <v>59.137467427238697</v>
      </c>
    </row>
    <row r="20" spans="1:8">
      <c r="B20" s="50" t="s">
        <v>14</v>
      </c>
      <c r="C20" s="141">
        <v>14.992899759553639</v>
      </c>
      <c r="D20" s="141">
        <v>12.545589020487174</v>
      </c>
      <c r="E20" s="141">
        <v>12.783406637266994</v>
      </c>
      <c r="F20" s="141">
        <v>12.597236440445009</v>
      </c>
      <c r="G20" s="141">
        <v>14.297426212014523</v>
      </c>
      <c r="H20" s="141">
        <v>66.407800767387414</v>
      </c>
    </row>
    <row r="21" spans="1:8">
      <c r="B21" s="143" t="s">
        <v>15</v>
      </c>
      <c r="C21" s="141">
        <v>0</v>
      </c>
      <c r="D21" s="141">
        <v>0.51264621310805614</v>
      </c>
      <c r="E21" s="141">
        <v>0.23378139043845189</v>
      </c>
      <c r="F21" s="141">
        <v>0.21401563823938424</v>
      </c>
      <c r="G21" s="141">
        <v>0.31738729262710275</v>
      </c>
      <c r="H21" s="141">
        <v>1.7274771772375928</v>
      </c>
    </row>
    <row r="22" spans="1:8" s="703" customFormat="1">
      <c r="A22" s="713" t="s">
        <v>557</v>
      </c>
      <c r="C22" s="702">
        <v>34.865527381980307</v>
      </c>
      <c r="D22" s="702">
        <v>23.368661654424116</v>
      </c>
      <c r="E22" s="702">
        <v>18.580256882805678</v>
      </c>
      <c r="F22" s="702">
        <v>19.572897162931344</v>
      </c>
      <c r="G22" s="702">
        <v>17.665430992256987</v>
      </c>
      <c r="H22" s="702">
        <v>131.49840461358434</v>
      </c>
    </row>
    <row r="23" spans="1:8">
      <c r="A23" s="139" t="s">
        <v>571</v>
      </c>
      <c r="B23" s="397"/>
      <c r="C23" s="15">
        <v>58.785250026666922</v>
      </c>
      <c r="D23" s="15">
        <v>39.902498880831295</v>
      </c>
      <c r="E23" s="15">
        <v>33.968926742509609</v>
      </c>
      <c r="F23" s="15">
        <v>39.212912360441173</v>
      </c>
      <c r="G23" s="15">
        <v>41.329191774317003</v>
      </c>
      <c r="H23" s="15">
        <v>243.02780645551317</v>
      </c>
    </row>
    <row r="24" spans="1:8">
      <c r="A24" s="373" t="s">
        <v>238</v>
      </c>
      <c r="B24" s="50"/>
      <c r="C24" s="49"/>
      <c r="D24" s="49"/>
      <c r="E24" s="49"/>
      <c r="F24" s="49"/>
      <c r="G24" s="49"/>
      <c r="H24" s="49"/>
    </row>
    <row r="25" spans="1:8">
      <c r="B25" s="50"/>
      <c r="C25" s="49"/>
      <c r="D25" s="49"/>
      <c r="E25" s="49"/>
      <c r="F25" s="49"/>
      <c r="G25" s="49"/>
      <c r="H25" s="49"/>
    </row>
    <row r="26" spans="1:8">
      <c r="A26" s="40" t="s">
        <v>170</v>
      </c>
      <c r="B26" s="50"/>
      <c r="C26" s="49"/>
      <c r="D26" s="49"/>
      <c r="E26" s="49"/>
      <c r="F26" s="49"/>
      <c r="G26" s="49"/>
      <c r="H26" s="49"/>
    </row>
    <row r="27" spans="1:8">
      <c r="B27" s="50"/>
      <c r="C27" s="49"/>
      <c r="D27" s="49"/>
      <c r="E27" s="49"/>
      <c r="F27" s="49"/>
      <c r="G27" s="49"/>
      <c r="H27" s="49"/>
    </row>
    <row r="28" spans="1:8">
      <c r="B28" s="50"/>
      <c r="C28" s="49"/>
      <c r="D28" s="49"/>
      <c r="E28" s="49"/>
      <c r="F28" s="49"/>
      <c r="G28" s="49"/>
      <c r="H28" s="49"/>
    </row>
  </sheetData>
  <mergeCells count="5">
    <mergeCell ref="A3:H3"/>
    <mergeCell ref="A4:H4"/>
    <mergeCell ref="A5:H5"/>
    <mergeCell ref="A6:H6"/>
    <mergeCell ref="A8:B8"/>
  </mergeCells>
  <hyperlinks>
    <hyperlink ref="B1" location="Indice!A1" display="Cuadro 4.4 Gasto ambiental per cápita 25/"/>
  </hyperlinks>
  <pageMargins left="0.7" right="0.7" top="0.75" bottom="0.75" header="0.3" footer="0.3"/>
  <pageSetup scale="82" orientation="portrait" r:id="rId1"/>
</worksheet>
</file>

<file path=xl/worksheets/sheet33.xml><?xml version="1.0" encoding="utf-8"?>
<worksheet xmlns="http://schemas.openxmlformats.org/spreadsheetml/2006/main" xmlns:r="http://schemas.openxmlformats.org/officeDocument/2006/relationships">
  <sheetPr>
    <tabColor theme="3" tint="0.39997558519241921"/>
    <pageSetUpPr fitToPage="1"/>
  </sheetPr>
  <dimension ref="A1:P38"/>
  <sheetViews>
    <sheetView showGridLines="0" topLeftCell="A6" workbookViewId="0">
      <selection activeCell="A6" sqref="A6:I6"/>
    </sheetView>
  </sheetViews>
  <sheetFormatPr baseColWidth="10" defaultRowHeight="12.75"/>
  <cols>
    <col min="1" max="1" width="1.1640625" customWidth="1"/>
    <col min="2" max="2" width="1.83203125" customWidth="1"/>
    <col min="3" max="3" width="53.1640625" customWidth="1"/>
  </cols>
  <sheetData>
    <row r="1" spans="1:16" hidden="1">
      <c r="A1" s="537"/>
      <c r="B1" s="537"/>
      <c r="C1" s="537"/>
      <c r="D1" s="537"/>
      <c r="E1" s="537"/>
      <c r="F1" s="537"/>
      <c r="G1" s="537"/>
      <c r="H1" s="537"/>
      <c r="I1" s="537"/>
      <c r="J1" s="210"/>
    </row>
    <row r="2" spans="1:16" hidden="1">
      <c r="A2" s="540"/>
      <c r="B2" s="540"/>
      <c r="C2" s="540"/>
      <c r="D2" s="540"/>
      <c r="E2" s="540"/>
      <c r="F2" s="540"/>
      <c r="G2" s="540"/>
      <c r="H2" s="540"/>
      <c r="I2" s="540"/>
      <c r="J2" s="540"/>
    </row>
    <row r="3" spans="1:16" hidden="1">
      <c r="A3" s="537"/>
      <c r="B3" s="537"/>
      <c r="C3" s="537"/>
      <c r="D3" s="537"/>
      <c r="E3" s="537"/>
      <c r="F3" s="537"/>
      <c r="G3" s="537"/>
      <c r="H3" s="537"/>
      <c r="I3" s="537"/>
      <c r="J3" s="210"/>
    </row>
    <row r="4" spans="1:16" hidden="1">
      <c r="A4" s="396" t="s">
        <v>321</v>
      </c>
      <c r="B4" s="327"/>
      <c r="C4" s="327"/>
      <c r="D4" s="327"/>
      <c r="E4" s="327"/>
      <c r="F4" s="327"/>
      <c r="G4" s="327"/>
      <c r="H4" s="327"/>
      <c r="I4" s="327"/>
      <c r="J4" s="209"/>
      <c r="K4" s="210"/>
      <c r="L4" s="210"/>
      <c r="M4" s="210"/>
      <c r="N4" s="210"/>
      <c r="O4" s="210"/>
      <c r="P4" s="210"/>
    </row>
    <row r="5" spans="1:16" hidden="1">
      <c r="A5" s="210"/>
      <c r="B5" s="210"/>
      <c r="C5" s="210"/>
      <c r="D5" s="210"/>
      <c r="E5" s="210"/>
      <c r="F5" s="210"/>
      <c r="G5" s="210"/>
      <c r="H5" s="210"/>
      <c r="I5" s="210"/>
      <c r="J5" s="210"/>
      <c r="K5" s="210"/>
      <c r="L5" s="210"/>
      <c r="M5" s="210"/>
      <c r="N5" s="210"/>
      <c r="O5" s="210"/>
      <c r="P5" s="210"/>
    </row>
    <row r="6" spans="1:16">
      <c r="A6" s="537" t="s">
        <v>274</v>
      </c>
      <c r="B6" s="537"/>
      <c r="C6" s="537"/>
      <c r="D6" s="537"/>
      <c r="E6" s="537"/>
      <c r="F6" s="537"/>
      <c r="G6" s="537"/>
      <c r="H6" s="537"/>
      <c r="I6" s="537"/>
      <c r="J6" s="210"/>
      <c r="K6" s="210"/>
      <c r="L6" s="210"/>
      <c r="M6" s="210"/>
      <c r="N6" s="210"/>
      <c r="O6" s="210"/>
      <c r="P6" s="210"/>
    </row>
    <row r="7" spans="1:16" ht="24" customHeight="1">
      <c r="A7" s="540" t="s">
        <v>273</v>
      </c>
      <c r="B7" s="540"/>
      <c r="C7" s="540"/>
      <c r="D7" s="540"/>
      <c r="E7" s="540"/>
      <c r="F7" s="540"/>
      <c r="G7" s="540"/>
      <c r="H7" s="540"/>
      <c r="I7" s="540"/>
      <c r="J7" s="41"/>
      <c r="K7" s="210"/>
      <c r="L7" s="210"/>
      <c r="M7" s="210"/>
      <c r="N7" s="210"/>
      <c r="O7" s="210"/>
      <c r="P7" s="210"/>
    </row>
    <row r="8" spans="1:16">
      <c r="A8" s="537" t="s">
        <v>156</v>
      </c>
      <c r="B8" s="537"/>
      <c r="C8" s="537"/>
      <c r="D8" s="537"/>
      <c r="E8" s="537"/>
      <c r="F8" s="537"/>
      <c r="G8" s="537"/>
      <c r="H8" s="537"/>
      <c r="I8" s="537"/>
      <c r="J8" s="210"/>
      <c r="K8" s="210"/>
      <c r="L8" s="210"/>
      <c r="M8" s="210"/>
      <c r="N8" s="210"/>
      <c r="O8" s="210"/>
      <c r="P8" s="210"/>
    </row>
    <row r="9" spans="1:16">
      <c r="A9" s="538" t="s">
        <v>226</v>
      </c>
      <c r="B9" s="538"/>
      <c r="C9" s="538"/>
      <c r="D9" s="538"/>
      <c r="E9" s="538"/>
      <c r="F9" s="538"/>
      <c r="G9" s="538"/>
      <c r="H9" s="538"/>
      <c r="I9" s="538"/>
      <c r="J9" s="210"/>
      <c r="K9" s="210"/>
      <c r="L9" s="210"/>
      <c r="M9" s="210"/>
      <c r="N9" s="210"/>
      <c r="O9" s="210"/>
      <c r="P9" s="210"/>
    </row>
    <row r="10" spans="1:16" s="529" customFormat="1">
      <c r="A10" s="658" t="s">
        <v>29</v>
      </c>
      <c r="B10" s="658"/>
      <c r="C10" s="658"/>
      <c r="D10" s="658"/>
      <c r="E10" s="658"/>
      <c r="F10" s="658"/>
      <c r="G10" s="658"/>
      <c r="H10" s="658"/>
      <c r="I10" s="658"/>
      <c r="J10" s="210"/>
      <c r="K10" s="210"/>
      <c r="L10" s="210"/>
      <c r="M10" s="210"/>
      <c r="N10" s="210"/>
      <c r="O10" s="210"/>
      <c r="P10" s="210"/>
    </row>
    <row r="11" spans="1:16">
      <c r="J11" s="210"/>
      <c r="K11" s="210"/>
      <c r="L11" s="210"/>
      <c r="M11" s="210"/>
      <c r="N11" s="210"/>
      <c r="O11" s="210"/>
      <c r="P11" s="210"/>
    </row>
    <row r="12" spans="1:16">
      <c r="A12" s="671"/>
      <c r="B12" s="671"/>
      <c r="C12" s="671" t="s">
        <v>153</v>
      </c>
      <c r="D12" s="642">
        <v>2001</v>
      </c>
      <c r="E12" s="642">
        <v>2002</v>
      </c>
      <c r="F12" s="642">
        <v>2003</v>
      </c>
      <c r="G12" s="642">
        <v>2004</v>
      </c>
      <c r="H12" s="642">
        <v>2005</v>
      </c>
      <c r="I12" s="642">
        <v>2006</v>
      </c>
      <c r="J12" s="210"/>
      <c r="K12" s="210"/>
      <c r="L12" s="210"/>
      <c r="M12" s="210"/>
      <c r="N12" s="210"/>
      <c r="O12" s="210"/>
      <c r="P12" s="210"/>
    </row>
    <row r="13" spans="1:16" ht="12.75" customHeight="1">
      <c r="A13" s="211" t="s">
        <v>562</v>
      </c>
      <c r="B13" s="212"/>
      <c r="C13" s="213"/>
      <c r="D13" s="811">
        <v>53.293037602055627</v>
      </c>
      <c r="E13" s="811">
        <v>56.694466617974726</v>
      </c>
      <c r="F13" s="811">
        <v>38.637993556247565</v>
      </c>
      <c r="G13" s="811">
        <v>32.997703021463863</v>
      </c>
      <c r="H13" s="811">
        <v>37.981261892745209</v>
      </c>
      <c r="I13" s="811">
        <v>36.193970588901763</v>
      </c>
      <c r="J13" s="210"/>
      <c r="K13" s="210"/>
      <c r="L13" s="210"/>
      <c r="M13" s="210"/>
      <c r="N13" s="210"/>
      <c r="O13" s="210"/>
      <c r="P13" s="210"/>
    </row>
    <row r="14" spans="1:16" ht="18.75" customHeight="1">
      <c r="A14" s="215" t="s">
        <v>563</v>
      </c>
      <c r="B14" s="212"/>
      <c r="C14" s="213"/>
      <c r="D14" s="811">
        <v>19.467122983455774</v>
      </c>
      <c r="E14" s="811">
        <v>18.715049354023225</v>
      </c>
      <c r="F14" s="811">
        <v>16.806703732898882</v>
      </c>
      <c r="G14" s="811">
        <v>14.094047043969585</v>
      </c>
      <c r="H14" s="811">
        <v>12.166955937700997</v>
      </c>
      <c r="I14" s="811">
        <v>12.745524109479252</v>
      </c>
      <c r="J14" s="210"/>
      <c r="K14" s="210"/>
      <c r="L14" s="210"/>
      <c r="M14" s="210"/>
      <c r="N14" s="210"/>
      <c r="O14" s="210"/>
      <c r="P14" s="210"/>
    </row>
    <row r="15" spans="1:16">
      <c r="A15" s="212"/>
      <c r="B15" s="215" t="s">
        <v>262</v>
      </c>
      <c r="C15" s="215"/>
      <c r="D15" s="214">
        <v>15.474937435960557</v>
      </c>
      <c r="E15" s="214">
        <v>13.915978679238371</v>
      </c>
      <c r="F15" s="214">
        <v>10.126851346697423</v>
      </c>
      <c r="G15" s="214">
        <v>9.5337036916573918</v>
      </c>
      <c r="H15" s="214">
        <v>9.2316092697336067</v>
      </c>
      <c r="I15" s="214">
        <v>9.3466816476132646</v>
      </c>
      <c r="J15" s="210"/>
      <c r="K15" s="210"/>
      <c r="L15" s="210"/>
      <c r="M15" s="210"/>
      <c r="N15" s="210"/>
      <c r="O15" s="210"/>
      <c r="P15" s="210"/>
    </row>
    <row r="16" spans="1:16" ht="12.75" customHeight="1">
      <c r="A16" s="212"/>
      <c r="B16" s="212"/>
      <c r="C16" s="216" t="s">
        <v>161</v>
      </c>
      <c r="D16" s="214">
        <v>9.0167010427035649E-2</v>
      </c>
      <c r="E16" s="214">
        <v>0.19276565040043639</v>
      </c>
      <c r="F16" s="214">
        <v>0.10248676803054915</v>
      </c>
      <c r="G16" s="214">
        <v>2.8815496707908371E-3</v>
      </c>
      <c r="H16" s="214">
        <v>1.7092513895591323E-2</v>
      </c>
      <c r="I16" s="214">
        <v>5.3337447908821417E-2</v>
      </c>
      <c r="J16" s="210"/>
      <c r="K16" s="210"/>
      <c r="L16" s="210"/>
      <c r="M16" s="210"/>
      <c r="N16" s="210"/>
      <c r="O16" s="210"/>
      <c r="P16" s="210"/>
    </row>
    <row r="17" spans="1:16" ht="28.5" customHeight="1">
      <c r="A17" s="212"/>
      <c r="B17" s="212"/>
      <c r="C17" s="216" t="s">
        <v>8</v>
      </c>
      <c r="D17" s="214">
        <v>0</v>
      </c>
      <c r="E17" s="214">
        <v>0.17195120130918684</v>
      </c>
      <c r="F17" s="214">
        <v>0</v>
      </c>
      <c r="G17" s="214">
        <v>0</v>
      </c>
      <c r="H17" s="214">
        <v>0</v>
      </c>
      <c r="I17" s="214">
        <v>0</v>
      </c>
      <c r="J17" s="210"/>
      <c r="K17" s="210"/>
      <c r="L17" s="210"/>
      <c r="M17" s="210"/>
      <c r="N17" s="210"/>
      <c r="O17" s="210"/>
      <c r="P17" s="210"/>
    </row>
    <row r="18" spans="1:16" ht="12.75" customHeight="1">
      <c r="A18" s="212"/>
      <c r="B18" s="212"/>
      <c r="C18" s="216" t="s">
        <v>9</v>
      </c>
      <c r="D18" s="214">
        <v>9.8912428478153842</v>
      </c>
      <c r="E18" s="214">
        <v>8.032154762696317</v>
      </c>
      <c r="F18" s="214">
        <v>5.8519207476263864</v>
      </c>
      <c r="G18" s="214">
        <v>5.9290010032726022</v>
      </c>
      <c r="H18" s="214">
        <v>5.0947314715803831</v>
      </c>
      <c r="I18" s="214">
        <v>5.3686693109535257</v>
      </c>
      <c r="J18" s="210"/>
      <c r="K18" s="210"/>
      <c r="L18" s="210"/>
      <c r="M18" s="210"/>
      <c r="N18" s="210"/>
      <c r="O18" s="210"/>
      <c r="P18" s="210"/>
    </row>
    <row r="19" spans="1:16" ht="13.5" customHeight="1">
      <c r="A19" s="212"/>
      <c r="B19" s="212"/>
      <c r="C19" s="216" t="s">
        <v>10</v>
      </c>
      <c r="D19" s="214">
        <v>0.74357067272456845</v>
      </c>
      <c r="E19" s="214">
        <v>0.73834242943173589</v>
      </c>
      <c r="F19" s="214">
        <v>0.73349455870573166</v>
      </c>
      <c r="G19" s="214">
        <v>0.55033802159420986</v>
      </c>
      <c r="H19" s="214">
        <v>0.56923039214412596</v>
      </c>
      <c r="I19" s="214">
        <v>0.78196114161111674</v>
      </c>
      <c r="J19" s="210"/>
      <c r="K19" s="210"/>
      <c r="L19" s="210"/>
      <c r="M19" s="210"/>
      <c r="N19" s="210"/>
      <c r="O19" s="210"/>
      <c r="P19" s="210"/>
    </row>
    <row r="20" spans="1:16" ht="13.5" customHeight="1">
      <c r="A20" s="212"/>
      <c r="B20" s="212"/>
      <c r="C20" s="216" t="s">
        <v>11</v>
      </c>
      <c r="D20" s="214">
        <v>4.7499569049935699</v>
      </c>
      <c r="E20" s="214">
        <v>4.7807646354006943</v>
      </c>
      <c r="F20" s="214">
        <v>3.4389492723347552</v>
      </c>
      <c r="G20" s="214">
        <v>3.0514831171197891</v>
      </c>
      <c r="H20" s="214">
        <v>3.5505548921135057</v>
      </c>
      <c r="I20" s="214">
        <v>3.1427137471398012</v>
      </c>
      <c r="J20" s="210"/>
      <c r="K20" s="210"/>
      <c r="L20" s="210"/>
      <c r="M20" s="210"/>
      <c r="N20" s="210"/>
      <c r="O20" s="210"/>
      <c r="P20" s="210"/>
    </row>
    <row r="21" spans="1:16">
      <c r="A21" s="212"/>
      <c r="B21" s="215" t="s">
        <v>263</v>
      </c>
      <c r="C21" s="215"/>
      <c r="D21" s="214">
        <v>3.9921855474952173</v>
      </c>
      <c r="E21" s="214">
        <v>4.7990706747848551</v>
      </c>
      <c r="F21" s="214">
        <v>6.6798523862014578</v>
      </c>
      <c r="G21" s="214">
        <v>4.560343352312195</v>
      </c>
      <c r="H21" s="214">
        <v>2.9353466679673916</v>
      </c>
      <c r="I21" s="214">
        <v>3.3988424618659892</v>
      </c>
      <c r="J21" s="210"/>
      <c r="K21" s="210"/>
      <c r="L21" s="210"/>
      <c r="M21" s="210"/>
      <c r="N21" s="210"/>
      <c r="O21" s="210"/>
      <c r="P21" s="210"/>
    </row>
    <row r="22" spans="1:16" ht="13.5" customHeight="1">
      <c r="A22" s="212"/>
      <c r="B22" s="212"/>
      <c r="C22" s="216" t="s">
        <v>12</v>
      </c>
      <c r="D22" s="214">
        <v>1.4791293687318281</v>
      </c>
      <c r="E22" s="214">
        <v>1.4219485722156033</v>
      </c>
      <c r="F22" s="214">
        <v>1.0884093457656292</v>
      </c>
      <c r="G22" s="214">
        <v>0.27504972256457816</v>
      </c>
      <c r="H22" s="214">
        <v>0.22684963739146094</v>
      </c>
      <c r="I22" s="214">
        <v>0.13373890860104254</v>
      </c>
      <c r="J22" s="210"/>
      <c r="K22" s="210"/>
      <c r="L22" s="210"/>
      <c r="M22" s="210"/>
      <c r="N22" s="210"/>
      <c r="O22" s="210"/>
      <c r="P22" s="210"/>
    </row>
    <row r="23" spans="1:16" ht="12.75" customHeight="1">
      <c r="A23" s="212"/>
      <c r="B23" s="212"/>
      <c r="C23" s="216" t="s">
        <v>13</v>
      </c>
      <c r="D23" s="214">
        <v>0.7199408744335386</v>
      </c>
      <c r="E23" s="214">
        <v>0.59618301408787078</v>
      </c>
      <c r="F23" s="214">
        <v>3.2120963043477899</v>
      </c>
      <c r="G23" s="214">
        <v>0.56870117722107127</v>
      </c>
      <c r="H23" s="214">
        <v>0.68579774941536276</v>
      </c>
      <c r="I23" s="214">
        <v>0.72027070552577255</v>
      </c>
      <c r="J23" s="210"/>
      <c r="K23" s="210"/>
      <c r="L23" s="210"/>
      <c r="M23" s="210"/>
      <c r="N23" s="210"/>
      <c r="O23" s="210"/>
      <c r="P23" s="210"/>
    </row>
    <row r="24" spans="1:16" ht="14.25" customHeight="1">
      <c r="A24" s="212"/>
      <c r="B24" s="212"/>
      <c r="C24" s="216" t="s">
        <v>14</v>
      </c>
      <c r="D24" s="214">
        <v>1.1826985958286467</v>
      </c>
      <c r="E24" s="214">
        <v>2.7809390884813814</v>
      </c>
      <c r="F24" s="214">
        <v>1.8829462189710731</v>
      </c>
      <c r="G24" s="214">
        <v>3.4894952306417251</v>
      </c>
      <c r="H24" s="214">
        <v>1.8142816688110517</v>
      </c>
      <c r="I24" s="214">
        <v>2.2352017577097785</v>
      </c>
      <c r="J24" s="210"/>
      <c r="K24" s="210"/>
      <c r="L24" s="210"/>
      <c r="M24" s="210"/>
      <c r="N24" s="210"/>
      <c r="O24" s="210"/>
      <c r="P24" s="210"/>
    </row>
    <row r="25" spans="1:16" ht="14.25" customHeight="1">
      <c r="A25" s="212"/>
      <c r="B25" s="212"/>
      <c r="C25" s="216" t="s">
        <v>15</v>
      </c>
      <c r="D25" s="214">
        <v>0.61041670850120389</v>
      </c>
      <c r="E25" s="214">
        <v>0</v>
      </c>
      <c r="F25" s="214">
        <v>0.49640051711696537</v>
      </c>
      <c r="G25" s="214">
        <v>0.22709722188482082</v>
      </c>
      <c r="H25" s="214">
        <v>0.20841761234951611</v>
      </c>
      <c r="I25" s="214">
        <v>0.30963109002939526</v>
      </c>
      <c r="J25" s="210"/>
      <c r="K25" s="210"/>
      <c r="L25" s="210"/>
      <c r="M25" s="210"/>
      <c r="N25" s="210"/>
      <c r="O25" s="210"/>
      <c r="P25" s="210"/>
    </row>
    <row r="26" spans="1:16" ht="24" customHeight="1">
      <c r="A26" s="215" t="s">
        <v>564</v>
      </c>
      <c r="B26" s="212"/>
      <c r="C26" s="213"/>
      <c r="D26" s="811">
        <v>33.825914618599846</v>
      </c>
      <c r="E26" s="811">
        <v>37.979417263951497</v>
      </c>
      <c r="F26" s="811">
        <v>21.831289823348683</v>
      </c>
      <c r="G26" s="811">
        <v>18.903655977494282</v>
      </c>
      <c r="H26" s="811">
        <v>25.814305955044212</v>
      </c>
      <c r="I26" s="811">
        <v>23.4484464794225</v>
      </c>
      <c r="J26" s="210"/>
      <c r="K26" s="210"/>
      <c r="L26" s="210"/>
      <c r="M26" s="210"/>
      <c r="N26" s="210"/>
      <c r="O26" s="210"/>
      <c r="P26" s="210"/>
    </row>
    <row r="27" spans="1:16">
      <c r="A27" s="212"/>
      <c r="B27" s="215" t="s">
        <v>149</v>
      </c>
      <c r="C27" s="215"/>
      <c r="D27" s="214">
        <v>7.0692873289901916</v>
      </c>
      <c r="E27" s="214">
        <v>9.1530040396446957</v>
      </c>
      <c r="F27" s="214">
        <v>5.8830305938257377</v>
      </c>
      <c r="G27" s="214">
        <v>5.4149804918319751</v>
      </c>
      <c r="H27" s="214">
        <v>9.7257322076867023</v>
      </c>
      <c r="I27" s="214">
        <v>9.987939704544802</v>
      </c>
      <c r="J27" s="210"/>
      <c r="K27" s="210"/>
      <c r="L27" s="210"/>
      <c r="M27" s="210"/>
      <c r="N27" s="210"/>
      <c r="O27" s="210"/>
      <c r="P27" s="210"/>
    </row>
    <row r="28" spans="1:16" ht="12.75" customHeight="1">
      <c r="A28" s="212"/>
      <c r="B28" s="212"/>
      <c r="C28" s="216" t="s">
        <v>7</v>
      </c>
      <c r="D28" s="214">
        <v>0.70894871394330128</v>
      </c>
      <c r="E28" s="214">
        <v>0.51585334949914918</v>
      </c>
      <c r="F28" s="214">
        <v>0</v>
      </c>
      <c r="G28" s="214">
        <v>7.6470178526996313E-3</v>
      </c>
      <c r="H28" s="214">
        <v>0.35771705865174519</v>
      </c>
      <c r="I28" s="214">
        <v>8.9170460102994453E-2</v>
      </c>
      <c r="J28" s="210"/>
      <c r="K28" s="210"/>
      <c r="L28" s="210"/>
      <c r="M28" s="210"/>
      <c r="N28" s="210"/>
      <c r="O28" s="210"/>
      <c r="P28" s="210"/>
    </row>
    <row r="29" spans="1:16" ht="13.5" customHeight="1">
      <c r="A29" s="212"/>
      <c r="B29" s="212"/>
      <c r="C29" s="216" t="s">
        <v>9</v>
      </c>
      <c r="D29" s="214">
        <v>3.3238723725411399</v>
      </c>
      <c r="E29" s="214">
        <v>7.8429415486344993</v>
      </c>
      <c r="F29" s="214">
        <v>5.552420982552019</v>
      </c>
      <c r="G29" s="214">
        <v>4.1429915448598278</v>
      </c>
      <c r="H29" s="214">
        <v>5.9363438703854499</v>
      </c>
      <c r="I29" s="214">
        <v>7.7733443878944204</v>
      </c>
      <c r="J29" s="210"/>
      <c r="K29" s="210"/>
      <c r="L29" s="210"/>
      <c r="M29" s="210"/>
      <c r="N29" s="210"/>
      <c r="O29" s="210"/>
      <c r="P29" s="210"/>
    </row>
    <row r="30" spans="1:16" ht="13.5" customHeight="1">
      <c r="A30" s="212"/>
      <c r="B30" s="212"/>
      <c r="C30" s="216" t="s">
        <v>10</v>
      </c>
      <c r="D30" s="214">
        <v>0</v>
      </c>
      <c r="E30" s="214">
        <v>0</v>
      </c>
      <c r="F30" s="214">
        <v>0</v>
      </c>
      <c r="G30" s="214">
        <v>1.074742477089817E-2</v>
      </c>
      <c r="H30" s="214">
        <v>1.2038699555478078E-2</v>
      </c>
      <c r="I30" s="214">
        <v>5.3682098270656977E-3</v>
      </c>
      <c r="J30" s="210"/>
      <c r="K30" s="210"/>
      <c r="L30" s="210"/>
      <c r="M30" s="210"/>
      <c r="N30" s="210"/>
      <c r="O30" s="210"/>
      <c r="P30" s="210"/>
    </row>
    <row r="31" spans="1:16" ht="11.25" customHeight="1">
      <c r="A31" s="212"/>
      <c r="B31" s="212"/>
      <c r="C31" s="216" t="s">
        <v>11</v>
      </c>
      <c r="D31" s="214">
        <v>3.03646624250575</v>
      </c>
      <c r="E31" s="214">
        <v>0.79420914151104693</v>
      </c>
      <c r="F31" s="214">
        <v>0.33060961127371907</v>
      </c>
      <c r="G31" s="214">
        <v>1.2535945043485501</v>
      </c>
      <c r="H31" s="214">
        <v>3.4196325790940292</v>
      </c>
      <c r="I31" s="214">
        <v>2.1200566467203212</v>
      </c>
      <c r="J31" s="210"/>
      <c r="K31" s="210"/>
      <c r="L31" s="210"/>
      <c r="M31" s="210"/>
      <c r="N31" s="210"/>
      <c r="O31" s="210"/>
      <c r="P31" s="210"/>
    </row>
    <row r="32" spans="1:16">
      <c r="A32" s="212"/>
      <c r="B32" s="215" t="s">
        <v>150</v>
      </c>
      <c r="C32" s="217"/>
      <c r="D32" s="214">
        <v>26.756627289609661</v>
      </c>
      <c r="E32" s="214">
        <v>28.826413224306805</v>
      </c>
      <c r="F32" s="214">
        <v>15.948259229522945</v>
      </c>
      <c r="G32" s="214">
        <v>13.488675485662306</v>
      </c>
      <c r="H32" s="214">
        <v>16.088573747357511</v>
      </c>
      <c r="I32" s="214">
        <v>13.460506774877697</v>
      </c>
      <c r="J32" s="210"/>
      <c r="K32" s="210"/>
      <c r="L32" s="210"/>
      <c r="M32" s="210"/>
      <c r="N32" s="210"/>
      <c r="O32" s="210"/>
      <c r="P32" s="210"/>
    </row>
    <row r="33" spans="1:16" ht="15" customHeight="1">
      <c r="A33" s="212"/>
      <c r="B33" s="212"/>
      <c r="C33" s="216" t="s">
        <v>12</v>
      </c>
      <c r="D33" s="214">
        <v>0</v>
      </c>
      <c r="E33" s="214">
        <v>0</v>
      </c>
      <c r="F33" s="214">
        <v>0</v>
      </c>
      <c r="G33" s="214">
        <v>0</v>
      </c>
      <c r="H33" s="214">
        <v>4.7739435527944284E-3</v>
      </c>
      <c r="I33" s="214">
        <v>3.3797384220723343E-3</v>
      </c>
      <c r="J33" s="210"/>
      <c r="K33" s="210"/>
      <c r="L33" s="210"/>
      <c r="M33" s="210"/>
      <c r="N33" s="210"/>
      <c r="O33" s="210"/>
      <c r="P33" s="210"/>
    </row>
    <row r="34" spans="1:16" ht="11.25" customHeight="1">
      <c r="A34" s="212"/>
      <c r="B34" s="212"/>
      <c r="C34" s="216" t="s">
        <v>13</v>
      </c>
      <c r="D34" s="214">
        <v>22.993524752528611</v>
      </c>
      <c r="E34" s="214">
        <v>17.147696964906519</v>
      </c>
      <c r="F34" s="214">
        <v>5.6831846144961862</v>
      </c>
      <c r="G34" s="214">
        <v>4.5602612834674066</v>
      </c>
      <c r="H34" s="214">
        <v>5.654782852572998</v>
      </c>
      <c r="I34" s="214">
        <v>1.9071764305645416</v>
      </c>
      <c r="J34" s="210"/>
      <c r="K34" s="210"/>
      <c r="L34" s="210"/>
      <c r="M34" s="210"/>
      <c r="N34" s="210"/>
      <c r="O34" s="210"/>
      <c r="P34" s="210"/>
    </row>
    <row r="35" spans="1:16" ht="10.5" customHeight="1">
      <c r="A35" s="218"/>
      <c r="B35" s="218"/>
      <c r="C35" s="219" t="s">
        <v>14</v>
      </c>
      <c r="D35" s="220">
        <v>3.7631025370810471</v>
      </c>
      <c r="E35" s="220">
        <v>11.678716259400282</v>
      </c>
      <c r="F35" s="220">
        <v>10.265074615026759</v>
      </c>
      <c r="G35" s="220">
        <v>8.9284142021948991</v>
      </c>
      <c r="H35" s="220">
        <v>10.429016951231716</v>
      </c>
      <c r="I35" s="220">
        <v>11.549950605891084</v>
      </c>
      <c r="J35" s="210"/>
      <c r="K35" s="210"/>
      <c r="L35" s="210"/>
      <c r="M35" s="210"/>
      <c r="N35" s="210"/>
      <c r="O35" s="210"/>
      <c r="P35" s="210"/>
    </row>
    <row r="36" spans="1:16">
      <c r="A36" s="270" t="s">
        <v>238</v>
      </c>
      <c r="B36" s="210"/>
      <c r="C36" s="210"/>
      <c r="D36" s="221"/>
      <c r="E36" s="221"/>
      <c r="F36" s="221"/>
      <c r="G36" s="221"/>
      <c r="H36" s="221"/>
      <c r="I36" s="221"/>
      <c r="J36" s="210"/>
      <c r="K36" s="210"/>
      <c r="L36" s="210"/>
      <c r="M36" s="210"/>
      <c r="N36" s="210"/>
      <c r="O36" s="210"/>
      <c r="P36" s="210"/>
    </row>
    <row r="37" spans="1:16">
      <c r="B37" s="210"/>
      <c r="C37" s="210"/>
      <c r="D37" s="210"/>
      <c r="E37" s="210"/>
      <c r="F37" s="210"/>
      <c r="G37" s="210"/>
      <c r="H37" s="210"/>
      <c r="I37" s="210"/>
      <c r="J37" s="210"/>
      <c r="K37" s="210"/>
      <c r="L37" s="210"/>
      <c r="M37" s="210"/>
      <c r="N37" s="210"/>
      <c r="O37" s="210"/>
      <c r="P37" s="210"/>
    </row>
    <row r="38" spans="1:16">
      <c r="A38" s="210" t="s">
        <v>170</v>
      </c>
      <c r="B38" s="210"/>
      <c r="C38" s="210"/>
      <c r="D38" s="210"/>
      <c r="E38" s="210"/>
      <c r="F38" s="210"/>
      <c r="G38" s="210"/>
      <c r="H38" s="210"/>
      <c r="I38" s="210"/>
      <c r="J38" s="210"/>
      <c r="K38" s="210"/>
      <c r="L38" s="210"/>
      <c r="M38" s="210"/>
      <c r="N38" s="210"/>
      <c r="O38" s="210"/>
      <c r="P38" s="210"/>
    </row>
  </sheetData>
  <mergeCells count="8">
    <mergeCell ref="A8:I8"/>
    <mergeCell ref="A9:I9"/>
    <mergeCell ref="A10:I10"/>
    <mergeCell ref="A1:I1"/>
    <mergeCell ref="A2:J2"/>
    <mergeCell ref="A3:I3"/>
    <mergeCell ref="A6:I6"/>
    <mergeCell ref="A7:I7"/>
  </mergeCells>
  <hyperlinks>
    <hyperlink ref="A4" location="Indice!A1" display="Cuadro 9.Cuenta de gastos y transacciones ambientales: gasto ambiental per cápita con base en gastos de la administración central del Gobierno de Guatemala, quetzales corrientes, sin agua y saneamiento"/>
  </hyperlinks>
  <pageMargins left="0.7" right="0.7" top="0.75" bottom="0.75" header="0.3" footer="0.3"/>
  <pageSetup scale="87" orientation="portrait" r:id="rId1"/>
</worksheet>
</file>

<file path=xl/worksheets/sheet34.xml><?xml version="1.0" encoding="utf-8"?>
<worksheet xmlns="http://schemas.openxmlformats.org/spreadsheetml/2006/main" xmlns:r="http://schemas.openxmlformats.org/officeDocument/2006/relationships">
  <sheetPr>
    <tabColor theme="3" tint="0.39997558519241921"/>
    <pageSetUpPr fitToPage="1"/>
  </sheetPr>
  <dimension ref="A1:K104"/>
  <sheetViews>
    <sheetView showGridLines="0" topLeftCell="A2" workbookViewId="0">
      <selection activeCell="B2" sqref="B2"/>
    </sheetView>
  </sheetViews>
  <sheetFormatPr baseColWidth="10" defaultRowHeight="12.75"/>
  <cols>
    <col min="1" max="2" width="1" style="44" customWidth="1"/>
    <col min="3" max="3" width="49.5" style="76" customWidth="1"/>
    <col min="4" max="4" width="13.6640625" style="44" customWidth="1"/>
    <col min="5" max="16384" width="12" style="44"/>
  </cols>
  <sheetData>
    <row r="1" spans="1:11" hidden="1">
      <c r="C1" s="122" t="s">
        <v>322</v>
      </c>
      <c r="D1" s="133"/>
    </row>
    <row r="2" spans="1:11">
      <c r="A2" s="19" t="s">
        <v>197</v>
      </c>
      <c r="B2" s="19"/>
      <c r="C2" s="105"/>
      <c r="D2" s="19"/>
      <c r="E2" s="19"/>
      <c r="F2" s="19"/>
      <c r="G2" s="19"/>
      <c r="H2" s="105"/>
      <c r="I2" s="19"/>
    </row>
    <row r="3" spans="1:11" ht="24.75" customHeight="1">
      <c r="A3" s="545" t="s">
        <v>265</v>
      </c>
      <c r="B3" s="545"/>
      <c r="C3" s="545"/>
      <c r="D3" s="545"/>
      <c r="E3" s="545"/>
      <c r="F3" s="545"/>
      <c r="G3" s="545"/>
      <c r="H3" s="545"/>
      <c r="I3" s="545"/>
    </row>
    <row r="4" spans="1:11">
      <c r="A4" s="113" t="s">
        <v>17</v>
      </c>
      <c r="B4" s="18"/>
      <c r="C4" s="113"/>
      <c r="D4" s="27"/>
      <c r="E4" s="27"/>
      <c r="F4" s="27"/>
      <c r="G4" s="27"/>
      <c r="H4" s="27"/>
      <c r="I4" s="27"/>
    </row>
    <row r="5" spans="1:11">
      <c r="A5" s="90" t="s">
        <v>32</v>
      </c>
      <c r="B5" s="18"/>
      <c r="C5" s="90"/>
      <c r="D5" s="18"/>
      <c r="E5" s="18"/>
      <c r="F5" s="18"/>
      <c r="G5" s="18"/>
      <c r="H5" s="18"/>
      <c r="I5" s="18"/>
    </row>
    <row r="6" spans="1:11">
      <c r="A6" s="18" t="s">
        <v>29</v>
      </c>
      <c r="B6" s="18"/>
      <c r="C6" s="90"/>
      <c r="D6" s="18"/>
      <c r="E6" s="18"/>
      <c r="F6" s="18"/>
      <c r="G6" s="18"/>
      <c r="H6" s="18"/>
      <c r="I6" s="18"/>
    </row>
    <row r="7" spans="1:11">
      <c r="B7" s="18"/>
      <c r="C7" s="19"/>
      <c r="D7" s="18"/>
      <c r="E7" s="18"/>
      <c r="F7" s="18"/>
      <c r="G7" s="18"/>
      <c r="H7" s="18"/>
      <c r="I7" s="18"/>
    </row>
    <row r="8" spans="1:11">
      <c r="A8" s="622" t="s">
        <v>583</v>
      </c>
      <c r="B8" s="622"/>
      <c r="C8" s="622"/>
      <c r="D8" s="810">
        <v>2001</v>
      </c>
      <c r="E8" s="810">
        <v>2002</v>
      </c>
      <c r="F8" s="810">
        <v>2003</v>
      </c>
      <c r="G8" s="810">
        <v>2004</v>
      </c>
      <c r="H8" s="810">
        <v>2005</v>
      </c>
      <c r="I8" s="810">
        <v>2006</v>
      </c>
    </row>
    <row r="9" spans="1:11">
      <c r="A9" s="120" t="s">
        <v>262</v>
      </c>
      <c r="B9" s="120"/>
      <c r="C9" s="120"/>
      <c r="D9" s="135"/>
      <c r="E9" s="135"/>
      <c r="F9" s="135"/>
      <c r="G9" s="135"/>
      <c r="H9" s="135"/>
      <c r="I9" s="135"/>
    </row>
    <row r="10" spans="1:11">
      <c r="C10" s="399" t="s">
        <v>164</v>
      </c>
      <c r="D10" s="136">
        <v>0</v>
      </c>
      <c r="E10" s="136">
        <v>0</v>
      </c>
      <c r="F10" s="136">
        <v>0</v>
      </c>
      <c r="G10" s="136">
        <v>0</v>
      </c>
      <c r="H10" s="136">
        <v>1.4582370322343897E-2</v>
      </c>
      <c r="I10" s="136">
        <v>0.24706940412585282</v>
      </c>
    </row>
    <row r="11" spans="1:11">
      <c r="C11" s="399" t="s">
        <v>161</v>
      </c>
      <c r="D11" s="136">
        <v>0.80838360476432558</v>
      </c>
      <c r="E11" s="136">
        <v>0.67064273522861839</v>
      </c>
      <c r="F11" s="136">
        <v>9.255946671298837E-2</v>
      </c>
      <c r="G11" s="136">
        <v>8.9422042383677704E-3</v>
      </c>
      <c r="H11" s="136">
        <v>0.40879269366892357</v>
      </c>
      <c r="I11" s="136">
        <v>2.1889894033712638</v>
      </c>
    </row>
    <row r="12" spans="1:11" ht="25.5">
      <c r="C12" s="137" t="s">
        <v>8</v>
      </c>
      <c r="D12" s="78">
        <v>0</v>
      </c>
      <c r="E12" s="78">
        <v>0.16273600339276945</v>
      </c>
      <c r="F12" s="78">
        <v>0</v>
      </c>
      <c r="G12" s="78">
        <v>0</v>
      </c>
      <c r="H12" s="78">
        <v>0</v>
      </c>
      <c r="I12" s="78">
        <v>0</v>
      </c>
      <c r="K12" s="30"/>
    </row>
    <row r="13" spans="1:11">
      <c r="C13" s="76" t="s">
        <v>9</v>
      </c>
      <c r="D13" s="78">
        <v>13.368379764551982</v>
      </c>
      <c r="E13" s="78">
        <v>15.024319152827273</v>
      </c>
      <c r="F13" s="78">
        <v>10.299669011353215</v>
      </c>
      <c r="G13" s="78">
        <v>8.5544224560246214</v>
      </c>
      <c r="H13" s="78">
        <v>8.863371500356692</v>
      </c>
      <c r="I13" s="78">
        <v>10.353513165448387</v>
      </c>
    </row>
    <row r="14" spans="1:11">
      <c r="C14" s="76" t="s">
        <v>10</v>
      </c>
      <c r="D14" s="78">
        <v>0.75219435994423733</v>
      </c>
      <c r="E14" s="78">
        <v>0.6987732286032543</v>
      </c>
      <c r="F14" s="78">
        <v>0.662445177024649</v>
      </c>
      <c r="G14" s="78">
        <v>0.47654542228829005</v>
      </c>
      <c r="H14" s="78">
        <v>0.46652317278116517</v>
      </c>
      <c r="I14" s="78">
        <v>0.6014453904864252</v>
      </c>
    </row>
    <row r="15" spans="1:11">
      <c r="C15" s="76" t="s">
        <v>11</v>
      </c>
      <c r="D15" s="78">
        <v>7.876727512971379</v>
      </c>
      <c r="E15" s="78">
        <v>5.2762001344950091</v>
      </c>
      <c r="F15" s="78">
        <v>3.4044234852445143</v>
      </c>
      <c r="G15" s="78">
        <v>3.6564217560751127</v>
      </c>
      <c r="H15" s="78">
        <v>5.5973784066479784</v>
      </c>
      <c r="I15" s="78">
        <v>4.2441080266989406</v>
      </c>
    </row>
    <row r="16" spans="1:11" s="635" customFormat="1">
      <c r="A16" s="638"/>
      <c r="B16" s="713" t="s">
        <v>556</v>
      </c>
      <c r="C16" s="713"/>
      <c r="D16" s="752">
        <v>22.805685242231924</v>
      </c>
      <c r="E16" s="752">
        <v>21.832671254546923</v>
      </c>
      <c r="F16" s="752">
        <v>14.459097140335366</v>
      </c>
      <c r="G16" s="752">
        <v>12.696331838626392</v>
      </c>
      <c r="H16" s="752">
        <v>15.350648143777104</v>
      </c>
      <c r="I16" s="752">
        <v>17.63512539013087</v>
      </c>
    </row>
    <row r="17" spans="1:9">
      <c r="A17" s="3" t="s">
        <v>267</v>
      </c>
      <c r="C17" s="3"/>
      <c r="D17" s="111"/>
      <c r="E17" s="111"/>
      <c r="F17" s="111"/>
      <c r="G17" s="111"/>
      <c r="H17" s="111"/>
      <c r="I17" s="111"/>
    </row>
    <row r="18" spans="1:9">
      <c r="C18" s="76" t="s">
        <v>12</v>
      </c>
      <c r="D18" s="78">
        <v>1.4962838229098434</v>
      </c>
      <c r="E18" s="78">
        <v>1.345743594174349</v>
      </c>
      <c r="F18" s="78">
        <v>0.98298141843510922</v>
      </c>
      <c r="G18" s="78">
        <v>0.23360735345917705</v>
      </c>
      <c r="H18" s="78">
        <v>0.18589973115049541</v>
      </c>
      <c r="I18" s="78">
        <v>0.10474571797830755</v>
      </c>
    </row>
    <row r="19" spans="1:9">
      <c r="C19" s="76" t="s">
        <v>13</v>
      </c>
      <c r="D19" s="78">
        <v>23.988486573810384</v>
      </c>
      <c r="E19" s="78">
        <v>16.792951084246081</v>
      </c>
      <c r="F19" s="78">
        <v>8.0336464299957111</v>
      </c>
      <c r="G19" s="78">
        <v>4.3561699872341819</v>
      </c>
      <c r="H19" s="78">
        <v>5.0990062894179262</v>
      </c>
      <c r="I19" s="78">
        <v>2.1686892785505734</v>
      </c>
    </row>
    <row r="20" spans="1:9">
      <c r="C20" s="76" t="s">
        <v>14</v>
      </c>
      <c r="D20" s="78">
        <v>5.0031609019073295</v>
      </c>
      <c r="E20" s="78">
        <v>13.684734412061523</v>
      </c>
      <c r="F20" s="78">
        <v>10.971312215426162</v>
      </c>
      <c r="G20" s="78">
        <v>10.546874692518973</v>
      </c>
      <c r="H20" s="78">
        <v>9.8460078689631896</v>
      </c>
      <c r="I20" s="78">
        <v>10.654980259780606</v>
      </c>
    </row>
    <row r="21" spans="1:9">
      <c r="C21" s="109" t="s">
        <v>15</v>
      </c>
      <c r="D21" s="78">
        <v>0.6174961199961273</v>
      </c>
      <c r="E21" s="78">
        <v>0</v>
      </c>
      <c r="F21" s="78">
        <v>0.44831706593286524</v>
      </c>
      <c r="G21" s="78">
        <v>0.19287996543966215</v>
      </c>
      <c r="H21" s="78">
        <v>0.16727475650299994</v>
      </c>
      <c r="I21" s="78">
        <v>0.23652895895382961</v>
      </c>
    </row>
    <row r="22" spans="1:9" s="635" customFormat="1">
      <c r="A22" s="638"/>
      <c r="B22" s="713" t="s">
        <v>557</v>
      </c>
      <c r="C22" s="713"/>
      <c r="D22" s="752">
        <v>31.105427418623687</v>
      </c>
      <c r="E22" s="752">
        <v>31.823429090481955</v>
      </c>
      <c r="F22" s="752">
        <v>20.436257129789851</v>
      </c>
      <c r="G22" s="752">
        <v>15.329531998651992</v>
      </c>
      <c r="H22" s="752">
        <v>15.298188646034612</v>
      </c>
      <c r="I22" s="752">
        <v>13.164944215263317</v>
      </c>
    </row>
    <row r="23" spans="1:9">
      <c r="A23" s="139" t="s">
        <v>571</v>
      </c>
      <c r="B23" s="99"/>
      <c r="C23" s="139"/>
      <c r="D23" s="140">
        <v>53.911112660855608</v>
      </c>
      <c r="E23" s="140">
        <v>53.656100345028882</v>
      </c>
      <c r="F23" s="140">
        <v>34.89535427012521</v>
      </c>
      <c r="G23" s="140">
        <v>28.025863837278383</v>
      </c>
      <c r="H23" s="140">
        <v>30.648836789811714</v>
      </c>
      <c r="I23" s="140">
        <v>30.800069605394189</v>
      </c>
    </row>
    <row r="24" spans="1:9">
      <c r="A24" s="373" t="s">
        <v>238</v>
      </c>
      <c r="B24" s="97"/>
      <c r="C24" s="29"/>
      <c r="D24" s="138"/>
      <c r="E24" s="138"/>
      <c r="F24" s="138"/>
      <c r="G24" s="138"/>
      <c r="H24" s="138"/>
      <c r="I24" s="138"/>
    </row>
    <row r="25" spans="1:9">
      <c r="C25" s="44"/>
    </row>
    <row r="26" spans="1:9" ht="18.75" customHeight="1">
      <c r="A26" s="40" t="s">
        <v>170</v>
      </c>
      <c r="C26" s="44"/>
    </row>
    <row r="27" spans="1:9" ht="24.75" customHeight="1">
      <c r="C27" s="44"/>
    </row>
    <row r="28" spans="1:9">
      <c r="C28" s="44"/>
    </row>
    <row r="29" spans="1:9">
      <c r="C29" s="44"/>
    </row>
    <row r="30" spans="1:9">
      <c r="C30" s="44"/>
    </row>
    <row r="31" spans="1:9">
      <c r="C31" s="44"/>
    </row>
    <row r="32" spans="1:9">
      <c r="C32" s="44"/>
    </row>
    <row r="33" spans="3:3">
      <c r="C33" s="44"/>
    </row>
    <row r="34" spans="3:3">
      <c r="C34" s="44"/>
    </row>
    <row r="35" spans="3:3">
      <c r="C35" s="44"/>
    </row>
    <row r="36" spans="3:3">
      <c r="C36" s="44"/>
    </row>
    <row r="37" spans="3:3">
      <c r="C37" s="44"/>
    </row>
    <row r="38" spans="3:3">
      <c r="C38" s="44"/>
    </row>
    <row r="39" spans="3:3">
      <c r="C39" s="44"/>
    </row>
    <row r="40" spans="3:3">
      <c r="C40" s="44"/>
    </row>
    <row r="41" spans="3:3">
      <c r="C41" s="44"/>
    </row>
    <row r="42" spans="3:3">
      <c r="C42" s="44"/>
    </row>
    <row r="43" spans="3:3">
      <c r="C43" s="44"/>
    </row>
    <row r="44" spans="3:3">
      <c r="C44" s="44"/>
    </row>
    <row r="45" spans="3:3">
      <c r="C45" s="44"/>
    </row>
    <row r="46" spans="3:3">
      <c r="C46" s="44"/>
    </row>
    <row r="47" spans="3:3">
      <c r="C47" s="44"/>
    </row>
    <row r="48" spans="3:3">
      <c r="C48" s="44"/>
    </row>
    <row r="49" spans="3:3">
      <c r="C49" s="44"/>
    </row>
    <row r="87" spans="3:3">
      <c r="C87" s="44"/>
    </row>
    <row r="88" spans="3:3">
      <c r="C88" s="44"/>
    </row>
    <row r="89" spans="3:3">
      <c r="C89" s="44"/>
    </row>
    <row r="90" spans="3:3">
      <c r="C90" s="44"/>
    </row>
    <row r="91" spans="3:3">
      <c r="C91" s="44"/>
    </row>
    <row r="92" spans="3:3">
      <c r="C92" s="44"/>
    </row>
    <row r="93" spans="3:3">
      <c r="C93" s="44"/>
    </row>
    <row r="94" spans="3:3">
      <c r="C94" s="44"/>
    </row>
    <row r="95" spans="3:3">
      <c r="C95" s="44"/>
    </row>
    <row r="96" spans="3:3">
      <c r="C96" s="44"/>
    </row>
    <row r="97" spans="3:3">
      <c r="C97" s="44"/>
    </row>
    <row r="98" spans="3:3">
      <c r="C98" s="44"/>
    </row>
    <row r="99" spans="3:3">
      <c r="C99" s="44"/>
    </row>
    <row r="100" spans="3:3">
      <c r="C100" s="44"/>
    </row>
    <row r="101" spans="3:3">
      <c r="C101" s="44"/>
    </row>
    <row r="102" spans="3:3">
      <c r="C102" s="44"/>
    </row>
    <row r="103" spans="3:3">
      <c r="C103" s="44"/>
    </row>
    <row r="104" spans="3:3">
      <c r="C104" s="44"/>
    </row>
  </sheetData>
  <mergeCells count="2">
    <mergeCell ref="A3:I3"/>
    <mergeCell ref="A8:C8"/>
  </mergeCells>
  <hyperlinks>
    <hyperlink ref="C1" location="Indice!A1" display="Cuadro 4.5 Gasto ambiental per cápita, quetzales constantes"/>
  </hyperlinks>
  <pageMargins left="0.7" right="0.7" top="0.75" bottom="0.75" header="0.3" footer="0.3"/>
  <pageSetup scale="89" orientation="portrait" r:id="rId1"/>
</worksheet>
</file>

<file path=xl/worksheets/sheet35.xml><?xml version="1.0" encoding="utf-8"?>
<worksheet xmlns="http://schemas.openxmlformats.org/spreadsheetml/2006/main" xmlns:r="http://schemas.openxmlformats.org/officeDocument/2006/relationships">
  <sheetPr>
    <tabColor theme="3" tint="0.39997558519241921"/>
    <pageSetUpPr fitToPage="1"/>
  </sheetPr>
  <dimension ref="A1:P39"/>
  <sheetViews>
    <sheetView showGridLines="0" topLeftCell="A3" workbookViewId="0">
      <selection activeCell="A3" sqref="A3:I3"/>
    </sheetView>
  </sheetViews>
  <sheetFormatPr baseColWidth="10" defaultRowHeight="12.75"/>
  <cols>
    <col min="1" max="1" width="1.6640625" customWidth="1"/>
    <col min="2" max="2" width="1.33203125" customWidth="1"/>
    <col min="3" max="3" width="53.5" customWidth="1"/>
  </cols>
  <sheetData>
    <row r="1" spans="1:16" hidden="1">
      <c r="A1" s="418" t="s">
        <v>324</v>
      </c>
      <c r="B1" s="327"/>
      <c r="C1" s="327"/>
      <c r="D1" s="327"/>
      <c r="E1" s="327"/>
      <c r="F1" s="327"/>
      <c r="G1" s="327"/>
      <c r="H1" s="327"/>
      <c r="I1" s="327"/>
      <c r="J1" s="209"/>
      <c r="K1" s="210"/>
      <c r="L1" s="210"/>
      <c r="M1" s="210"/>
      <c r="N1" s="210"/>
      <c r="O1" s="210"/>
      <c r="P1" s="210"/>
    </row>
    <row r="2" spans="1:16" hidden="1">
      <c r="A2" s="210"/>
      <c r="B2" s="210"/>
      <c r="C2" s="210"/>
      <c r="D2" s="210"/>
      <c r="E2" s="210"/>
      <c r="F2" s="210"/>
      <c r="G2" s="210"/>
      <c r="H2" s="210"/>
      <c r="I2" s="210"/>
      <c r="J2" s="210"/>
      <c r="K2" s="210"/>
      <c r="L2" s="210"/>
      <c r="M2" s="210"/>
      <c r="N2" s="210"/>
      <c r="O2" s="210"/>
      <c r="P2" s="210"/>
    </row>
    <row r="3" spans="1:16">
      <c r="A3" s="537" t="s">
        <v>198</v>
      </c>
      <c r="B3" s="537"/>
      <c r="C3" s="537"/>
      <c r="D3" s="537"/>
      <c r="E3" s="537"/>
      <c r="F3" s="537"/>
      <c r="G3" s="537"/>
      <c r="H3" s="537"/>
      <c r="I3" s="537"/>
      <c r="J3" s="210"/>
      <c r="K3" s="210"/>
      <c r="L3" s="210"/>
      <c r="M3" s="210"/>
      <c r="N3" s="210"/>
      <c r="O3" s="210"/>
      <c r="P3" s="210"/>
    </row>
    <row r="4" spans="1:16" ht="24.75" customHeight="1">
      <c r="A4" s="540" t="s">
        <v>323</v>
      </c>
      <c r="B4" s="540"/>
      <c r="C4" s="540"/>
      <c r="D4" s="540"/>
      <c r="E4" s="540"/>
      <c r="F4" s="540"/>
      <c r="G4" s="540"/>
      <c r="H4" s="540"/>
      <c r="I4" s="540"/>
      <c r="J4" s="210"/>
      <c r="K4" s="210"/>
      <c r="L4" s="210"/>
      <c r="M4" s="210"/>
      <c r="N4" s="210"/>
      <c r="O4" s="210"/>
      <c r="P4" s="210"/>
    </row>
    <row r="5" spans="1:16">
      <c r="A5" s="537" t="s">
        <v>154</v>
      </c>
      <c r="B5" s="537"/>
      <c r="C5" s="537"/>
      <c r="D5" s="537"/>
      <c r="E5" s="537"/>
      <c r="F5" s="537"/>
      <c r="G5" s="537"/>
      <c r="H5" s="537"/>
      <c r="I5" s="537"/>
      <c r="J5" s="210"/>
      <c r="K5" s="210"/>
      <c r="L5" s="210"/>
      <c r="M5" s="210"/>
      <c r="N5" s="210"/>
      <c r="O5" s="210"/>
      <c r="P5" s="210"/>
    </row>
    <row r="6" spans="1:16">
      <c r="A6" s="538" t="s">
        <v>227</v>
      </c>
      <c r="B6" s="538"/>
      <c r="C6" s="538"/>
      <c r="D6" s="538"/>
      <c r="E6" s="538"/>
      <c r="F6" s="538"/>
      <c r="G6" s="538"/>
      <c r="H6" s="538"/>
      <c r="I6" s="538"/>
      <c r="J6" s="210"/>
      <c r="K6" s="210"/>
      <c r="L6" s="210"/>
      <c r="M6" s="210"/>
      <c r="N6" s="210"/>
      <c r="O6" s="210"/>
      <c r="P6" s="210"/>
    </row>
    <row r="7" spans="1:16" s="529" customFormat="1">
      <c r="A7" s="658" t="s">
        <v>28</v>
      </c>
      <c r="B7" s="658"/>
      <c r="C7" s="658"/>
      <c r="D7" s="658"/>
      <c r="E7" s="658"/>
      <c r="F7" s="658"/>
      <c r="G7" s="658"/>
      <c r="H7" s="658"/>
      <c r="I7" s="658"/>
      <c r="J7" s="210"/>
      <c r="K7" s="210"/>
      <c r="L7" s="210"/>
      <c r="M7" s="210"/>
      <c r="N7" s="210"/>
      <c r="O7" s="210"/>
      <c r="P7" s="210"/>
    </row>
    <row r="8" spans="1:16">
      <c r="J8" s="210"/>
      <c r="K8" s="210"/>
      <c r="L8" s="210"/>
      <c r="M8" s="210"/>
      <c r="N8" s="210"/>
      <c r="O8" s="210"/>
      <c r="P8" s="210"/>
    </row>
    <row r="9" spans="1:16">
      <c r="A9" s="600" t="s">
        <v>157</v>
      </c>
      <c r="B9" s="808"/>
      <c r="C9" s="808"/>
      <c r="D9" s="806" t="s">
        <v>34</v>
      </c>
      <c r="E9" s="806"/>
      <c r="F9" s="806"/>
      <c r="G9" s="806"/>
      <c r="H9" s="806"/>
      <c r="I9" s="806"/>
      <c r="J9" s="210"/>
      <c r="K9" s="210"/>
      <c r="L9" s="210"/>
      <c r="M9" s="210"/>
      <c r="N9" s="210"/>
      <c r="O9" s="210"/>
      <c r="P9" s="210"/>
    </row>
    <row r="10" spans="1:16">
      <c r="A10" s="809"/>
      <c r="B10" s="809"/>
      <c r="C10" s="809"/>
      <c r="D10" s="807">
        <v>2001</v>
      </c>
      <c r="E10" s="807">
        <v>2002</v>
      </c>
      <c r="F10" s="807">
        <v>2003</v>
      </c>
      <c r="G10" s="807">
        <v>2004</v>
      </c>
      <c r="H10" s="807">
        <v>2005</v>
      </c>
      <c r="I10" s="807">
        <v>2006</v>
      </c>
      <c r="J10" s="210"/>
      <c r="K10" s="210"/>
      <c r="L10" s="210"/>
      <c r="M10" s="210"/>
      <c r="N10" s="210"/>
      <c r="O10" s="210"/>
      <c r="P10" s="210"/>
    </row>
    <row r="11" spans="1:16">
      <c r="A11" s="210"/>
      <c r="B11" s="210"/>
      <c r="C11" s="210"/>
      <c r="D11" s="210"/>
      <c r="E11" s="210"/>
      <c r="F11" s="210"/>
      <c r="G11" s="210"/>
      <c r="H11" s="210"/>
      <c r="I11" s="210"/>
      <c r="J11" s="210"/>
      <c r="K11" s="210"/>
      <c r="L11" s="210"/>
      <c r="M11" s="210"/>
      <c r="N11" s="210"/>
      <c r="O11" s="210"/>
      <c r="P11" s="210"/>
    </row>
    <row r="12" spans="1:16">
      <c r="A12" s="211" t="s">
        <v>558</v>
      </c>
      <c r="B12" s="212"/>
      <c r="C12" s="213"/>
      <c r="D12" s="376">
        <v>53.540784991515302</v>
      </c>
      <c r="E12" s="376">
        <v>57.142065305666897</v>
      </c>
      <c r="F12" s="376">
        <v>39.286623565280401</v>
      </c>
      <c r="G12" s="376">
        <v>33.148176594217595</v>
      </c>
      <c r="H12" s="376">
        <v>42.130806141443173</v>
      </c>
      <c r="I12" s="376">
        <v>38.330142198653498</v>
      </c>
      <c r="J12" s="210"/>
      <c r="K12" s="210"/>
      <c r="L12" s="210"/>
      <c r="M12" s="210"/>
      <c r="N12" s="210"/>
      <c r="O12" s="210"/>
      <c r="P12" s="210"/>
    </row>
    <row r="13" spans="1:16" ht="22.5" customHeight="1">
      <c r="A13" s="215" t="s">
        <v>563</v>
      </c>
      <c r="B13" s="212"/>
      <c r="C13" s="213"/>
      <c r="D13" s="376">
        <v>19.467122983455774</v>
      </c>
      <c r="E13" s="376">
        <v>19.162648041715403</v>
      </c>
      <c r="F13" s="376">
        <v>16.806703732898882</v>
      </c>
      <c r="G13" s="376">
        <v>14.094047043969587</v>
      </c>
      <c r="H13" s="376">
        <v>12.166955937700997</v>
      </c>
      <c r="I13" s="376">
        <v>12.745524109479252</v>
      </c>
      <c r="J13" s="210"/>
      <c r="K13" s="210"/>
      <c r="L13" s="210"/>
      <c r="M13" s="210"/>
      <c r="N13" s="210"/>
      <c r="O13" s="210"/>
      <c r="P13" s="210"/>
    </row>
    <row r="14" spans="1:16">
      <c r="A14" s="212"/>
      <c r="B14" s="215" t="s">
        <v>262</v>
      </c>
      <c r="C14" s="215"/>
      <c r="D14" s="377">
        <v>15.474937435960557</v>
      </c>
      <c r="E14" s="377">
        <v>14.363577366930549</v>
      </c>
      <c r="F14" s="377">
        <v>10.126851346697423</v>
      </c>
      <c r="G14" s="377">
        <v>9.5337036916573918</v>
      </c>
      <c r="H14" s="377">
        <v>9.2316092697336067</v>
      </c>
      <c r="I14" s="377">
        <v>9.3466816476132628</v>
      </c>
      <c r="J14" s="210"/>
      <c r="K14" s="210"/>
      <c r="L14" s="210"/>
      <c r="M14" s="210"/>
      <c r="N14" s="210"/>
      <c r="O14" s="210"/>
      <c r="P14" s="210"/>
    </row>
    <row r="15" spans="1:16">
      <c r="A15" s="210"/>
      <c r="B15" s="210"/>
      <c r="C15" s="210" t="s">
        <v>164</v>
      </c>
      <c r="D15" s="377">
        <v>0</v>
      </c>
      <c r="E15" s="377">
        <v>0.44759868769217825</v>
      </c>
      <c r="F15" s="377">
        <v>0</v>
      </c>
      <c r="G15" s="377">
        <v>0</v>
      </c>
      <c r="H15" s="377">
        <v>0</v>
      </c>
      <c r="I15" s="377">
        <v>0</v>
      </c>
      <c r="J15" s="210"/>
      <c r="K15" s="210"/>
      <c r="L15" s="210"/>
      <c r="M15" s="210"/>
      <c r="N15" s="210"/>
      <c r="O15" s="210"/>
      <c r="P15" s="210"/>
    </row>
    <row r="16" spans="1:16" ht="12" customHeight="1">
      <c r="A16" s="212"/>
      <c r="B16" s="212"/>
      <c r="C16" s="216" t="s">
        <v>161</v>
      </c>
      <c r="D16" s="377">
        <v>9.0167010427035649E-2</v>
      </c>
      <c r="E16" s="377">
        <v>0.19276565040043639</v>
      </c>
      <c r="F16" s="377">
        <v>0.10248676803054915</v>
      </c>
      <c r="G16" s="377">
        <v>2.8815496707908371E-3</v>
      </c>
      <c r="H16" s="377">
        <v>1.7092513895591323E-2</v>
      </c>
      <c r="I16" s="377">
        <v>5.3337447908821417E-2</v>
      </c>
      <c r="J16" s="210"/>
      <c r="K16" s="210"/>
      <c r="L16" s="210"/>
      <c r="M16" s="210"/>
      <c r="N16" s="210"/>
      <c r="O16" s="210"/>
      <c r="P16" s="210"/>
    </row>
    <row r="17" spans="1:16" ht="25.5" customHeight="1">
      <c r="A17" s="212"/>
      <c r="B17" s="212"/>
      <c r="C17" s="216" t="s">
        <v>8</v>
      </c>
      <c r="D17" s="377">
        <v>0</v>
      </c>
      <c r="E17" s="377">
        <v>0.17195120130918684</v>
      </c>
      <c r="F17" s="377">
        <v>0</v>
      </c>
      <c r="G17" s="377">
        <v>0</v>
      </c>
      <c r="H17" s="377">
        <v>0</v>
      </c>
      <c r="I17" s="377">
        <v>0</v>
      </c>
      <c r="J17" s="210"/>
      <c r="K17" s="210"/>
      <c r="L17" s="210"/>
      <c r="M17" s="210"/>
      <c r="N17" s="210"/>
      <c r="O17" s="210"/>
      <c r="P17" s="210"/>
    </row>
    <row r="18" spans="1:16" ht="15.75" customHeight="1">
      <c r="A18" s="212"/>
      <c r="B18" s="212"/>
      <c r="C18" s="216" t="s">
        <v>9</v>
      </c>
      <c r="D18" s="377">
        <v>9.8912428478153842</v>
      </c>
      <c r="E18" s="377">
        <v>8.032154762696317</v>
      </c>
      <c r="F18" s="377">
        <v>5.8519207476263864</v>
      </c>
      <c r="G18" s="377">
        <v>5.9290010032726022</v>
      </c>
      <c r="H18" s="377">
        <v>5.0947314715803831</v>
      </c>
      <c r="I18" s="377">
        <v>5.3686693109535248</v>
      </c>
      <c r="J18" s="210"/>
      <c r="K18" s="210"/>
      <c r="L18" s="210"/>
      <c r="M18" s="210"/>
      <c r="N18" s="210"/>
      <c r="O18" s="210"/>
      <c r="P18" s="210"/>
    </row>
    <row r="19" spans="1:16" ht="13.5" customHeight="1">
      <c r="A19" s="212"/>
      <c r="B19" s="212"/>
      <c r="C19" s="216" t="s">
        <v>10</v>
      </c>
      <c r="D19" s="377">
        <v>0.74357067272456845</v>
      </c>
      <c r="E19" s="377">
        <v>0.73834242943173589</v>
      </c>
      <c r="F19" s="377">
        <v>0.73349455870573166</v>
      </c>
      <c r="G19" s="377">
        <v>0.55033802159420997</v>
      </c>
      <c r="H19" s="377">
        <v>0.56923039214412596</v>
      </c>
      <c r="I19" s="377">
        <v>0.78196114161111674</v>
      </c>
      <c r="J19" s="210"/>
      <c r="K19" s="210"/>
      <c r="L19" s="210"/>
      <c r="M19" s="210"/>
      <c r="N19" s="210"/>
      <c r="O19" s="210"/>
      <c r="P19" s="210"/>
    </row>
    <row r="20" spans="1:16" ht="13.5" customHeight="1">
      <c r="A20" s="212"/>
      <c r="B20" s="212"/>
      <c r="C20" s="216" t="s">
        <v>11</v>
      </c>
      <c r="D20" s="377">
        <v>4.7499569049935699</v>
      </c>
      <c r="E20" s="377">
        <v>4.7807646354006943</v>
      </c>
      <c r="F20" s="377">
        <v>3.4389492723347552</v>
      </c>
      <c r="G20" s="377">
        <v>3.0514831171197891</v>
      </c>
      <c r="H20" s="377">
        <v>3.5505548921135053</v>
      </c>
      <c r="I20" s="377">
        <v>3.1427137471398003</v>
      </c>
      <c r="J20" s="210"/>
      <c r="K20" s="210"/>
      <c r="L20" s="210"/>
      <c r="M20" s="210"/>
      <c r="N20" s="210"/>
      <c r="O20" s="210"/>
      <c r="P20" s="210"/>
    </row>
    <row r="21" spans="1:16">
      <c r="A21" s="212"/>
      <c r="B21" s="215" t="s">
        <v>263</v>
      </c>
      <c r="C21" s="215"/>
      <c r="D21" s="377">
        <v>3.9921855474952173</v>
      </c>
      <c r="E21" s="377">
        <v>4.7990706747848551</v>
      </c>
      <c r="F21" s="377">
        <v>6.6798523862014578</v>
      </c>
      <c r="G21" s="377">
        <v>4.560343352312195</v>
      </c>
      <c r="H21" s="377">
        <v>2.9353466679673916</v>
      </c>
      <c r="I21" s="377">
        <v>3.3988424618659892</v>
      </c>
      <c r="J21" s="210"/>
      <c r="K21" s="210"/>
      <c r="L21" s="210"/>
      <c r="M21" s="210"/>
      <c r="N21" s="210"/>
      <c r="O21" s="210"/>
      <c r="P21" s="210"/>
    </row>
    <row r="22" spans="1:16" ht="13.5" customHeight="1">
      <c r="A22" s="212"/>
      <c r="B22" s="212"/>
      <c r="C22" s="216" t="s">
        <v>12</v>
      </c>
      <c r="D22" s="377">
        <v>1.4791293687318281</v>
      </c>
      <c r="E22" s="377">
        <v>1.4219485722156033</v>
      </c>
      <c r="F22" s="377">
        <v>1.0884093457656292</v>
      </c>
      <c r="G22" s="377">
        <v>0.27504972256457816</v>
      </c>
      <c r="H22" s="377">
        <v>0.22684963739146094</v>
      </c>
      <c r="I22" s="377">
        <v>0.13373890860104254</v>
      </c>
      <c r="J22" s="210"/>
      <c r="K22" s="210"/>
      <c r="L22" s="210"/>
      <c r="M22" s="210"/>
      <c r="N22" s="210"/>
      <c r="O22" s="210"/>
      <c r="P22" s="210"/>
    </row>
    <row r="23" spans="1:16" ht="15.75" customHeight="1">
      <c r="A23" s="212"/>
      <c r="B23" s="212"/>
      <c r="C23" s="216" t="s">
        <v>13</v>
      </c>
      <c r="D23" s="377">
        <v>0.7199408744335386</v>
      </c>
      <c r="E23" s="377">
        <v>0.59618301408787078</v>
      </c>
      <c r="F23" s="377">
        <v>3.2120963043477899</v>
      </c>
      <c r="G23" s="377">
        <v>0.56870117722107127</v>
      </c>
      <c r="H23" s="377">
        <v>0.68579774941536276</v>
      </c>
      <c r="I23" s="377">
        <v>0.72027070552577255</v>
      </c>
      <c r="J23" s="210"/>
      <c r="K23" s="210"/>
      <c r="L23" s="210"/>
      <c r="M23" s="210"/>
      <c r="N23" s="210"/>
      <c r="O23" s="210"/>
      <c r="P23" s="210"/>
    </row>
    <row r="24" spans="1:16" ht="16.5" customHeight="1">
      <c r="A24" s="212"/>
      <c r="B24" s="212"/>
      <c r="C24" s="216" t="s">
        <v>14</v>
      </c>
      <c r="D24" s="377">
        <v>1.1826985958286467</v>
      </c>
      <c r="E24" s="377">
        <v>2.7809390884813814</v>
      </c>
      <c r="F24" s="377">
        <v>1.8829462189710731</v>
      </c>
      <c r="G24" s="377">
        <v>3.4894952306417251</v>
      </c>
      <c r="H24" s="377">
        <v>1.8142816688110517</v>
      </c>
      <c r="I24" s="377">
        <v>2.2352017577097785</v>
      </c>
      <c r="J24" s="210"/>
      <c r="K24" s="210"/>
      <c r="L24" s="210"/>
      <c r="M24" s="210"/>
      <c r="N24" s="210"/>
      <c r="O24" s="210"/>
      <c r="P24" s="210"/>
    </row>
    <row r="25" spans="1:16" ht="12.75" customHeight="1">
      <c r="A25" s="212"/>
      <c r="B25" s="212"/>
      <c r="C25" s="216" t="s">
        <v>15</v>
      </c>
      <c r="D25" s="377">
        <v>0.61041670850120389</v>
      </c>
      <c r="E25" s="377">
        <v>0</v>
      </c>
      <c r="F25" s="377">
        <v>0.49640051711696537</v>
      </c>
      <c r="G25" s="377">
        <v>0.22709722188482082</v>
      </c>
      <c r="H25" s="377">
        <v>0.20841761234951611</v>
      </c>
      <c r="I25" s="377">
        <v>0.30963109002939526</v>
      </c>
      <c r="J25" s="210"/>
      <c r="K25" s="210"/>
      <c r="L25" s="210"/>
      <c r="M25" s="210"/>
      <c r="N25" s="210"/>
      <c r="O25" s="210"/>
      <c r="P25" s="210"/>
    </row>
    <row r="26" spans="1:16" ht="21" customHeight="1">
      <c r="A26" s="215" t="s">
        <v>564</v>
      </c>
      <c r="B26" s="212"/>
      <c r="C26" s="213"/>
      <c r="D26" s="376">
        <v>34.073662008059529</v>
      </c>
      <c r="E26" s="376">
        <v>37.979417263951497</v>
      </c>
      <c r="F26" s="376">
        <v>22.479919832381519</v>
      </c>
      <c r="G26" s="376">
        <v>19.054129550248007</v>
      </c>
      <c r="H26" s="376">
        <v>29.963850203742172</v>
      </c>
      <c r="I26" s="376">
        <v>25.584618089174246</v>
      </c>
      <c r="J26" s="210"/>
      <c r="K26" s="210"/>
      <c r="L26" s="210"/>
      <c r="M26" s="210"/>
      <c r="N26" s="210"/>
      <c r="O26" s="210"/>
      <c r="P26" s="210"/>
    </row>
    <row r="27" spans="1:16">
      <c r="A27" s="212"/>
      <c r="B27" s="215" t="s">
        <v>149</v>
      </c>
      <c r="C27" s="215"/>
      <c r="D27" s="351">
        <v>7.3170347184498699</v>
      </c>
      <c r="E27" s="351">
        <v>9.1530040396446957</v>
      </c>
      <c r="F27" s="351">
        <v>6.5316606028585724</v>
      </c>
      <c r="G27" s="351">
        <v>5.565454064585702</v>
      </c>
      <c r="H27" s="351">
        <v>10.647085308730425</v>
      </c>
      <c r="I27" s="351">
        <v>10.402974774323727</v>
      </c>
      <c r="J27" s="210"/>
      <c r="K27" s="210"/>
      <c r="L27" s="210"/>
      <c r="M27" s="210"/>
      <c r="N27" s="210"/>
      <c r="O27" s="210"/>
      <c r="P27" s="210"/>
    </row>
    <row r="28" spans="1:16" ht="15" customHeight="1">
      <c r="A28" s="212"/>
      <c r="B28" s="212"/>
      <c r="C28" s="216" t="s">
        <v>161</v>
      </c>
      <c r="D28" s="377">
        <v>0.24774738945967859</v>
      </c>
      <c r="E28" s="377">
        <v>0</v>
      </c>
      <c r="F28" s="377">
        <v>0</v>
      </c>
      <c r="G28" s="377">
        <v>0.15047357275372786</v>
      </c>
      <c r="H28" s="377">
        <v>0.92135310104372126</v>
      </c>
      <c r="I28" s="377">
        <v>0.41503506977892446</v>
      </c>
      <c r="J28" s="210"/>
      <c r="K28" s="210"/>
      <c r="L28" s="210"/>
      <c r="M28" s="210"/>
      <c r="N28" s="210"/>
      <c r="O28" s="210"/>
      <c r="P28" s="210"/>
    </row>
    <row r="29" spans="1:16" ht="15" customHeight="1">
      <c r="A29" s="212"/>
      <c r="B29" s="212"/>
      <c r="C29" s="216" t="s">
        <v>9</v>
      </c>
      <c r="D29" s="377">
        <v>0.70894871394330128</v>
      </c>
      <c r="E29" s="377">
        <v>0.51585334949914918</v>
      </c>
      <c r="F29" s="377">
        <v>0.64863000903283474</v>
      </c>
      <c r="G29" s="377">
        <v>7.6470178526996313E-3</v>
      </c>
      <c r="H29" s="377">
        <v>0.35771705865174519</v>
      </c>
      <c r="I29" s="377">
        <v>8.9170460102994453E-2</v>
      </c>
      <c r="J29" s="210"/>
      <c r="K29" s="210"/>
      <c r="L29" s="210"/>
      <c r="M29" s="210"/>
      <c r="N29" s="210"/>
      <c r="O29" s="210"/>
      <c r="P29" s="210"/>
    </row>
    <row r="30" spans="1:16" ht="16.5" customHeight="1">
      <c r="A30" s="212"/>
      <c r="B30" s="212"/>
      <c r="C30" s="216" t="s">
        <v>10</v>
      </c>
      <c r="D30" s="377">
        <v>3.3238723725411399</v>
      </c>
      <c r="E30" s="377">
        <v>7.8429415486344993</v>
      </c>
      <c r="F30" s="377">
        <v>5.552420982552019</v>
      </c>
      <c r="G30" s="377">
        <v>4.1429915448598269</v>
      </c>
      <c r="H30" s="377">
        <v>5.9363438703854499</v>
      </c>
      <c r="I30" s="377">
        <v>7.7733443878944213</v>
      </c>
      <c r="J30" s="210"/>
      <c r="K30" s="210"/>
      <c r="L30" s="210"/>
      <c r="M30" s="210"/>
      <c r="N30" s="210"/>
      <c r="O30" s="210"/>
      <c r="P30" s="210"/>
    </row>
    <row r="31" spans="1:16" ht="15" customHeight="1">
      <c r="A31" s="212"/>
      <c r="B31" s="212"/>
      <c r="C31" s="216" t="s">
        <v>11</v>
      </c>
      <c r="D31" s="377">
        <v>0</v>
      </c>
      <c r="E31" s="377">
        <v>0</v>
      </c>
      <c r="F31" s="377">
        <v>0</v>
      </c>
      <c r="G31" s="377">
        <v>1.074742477089817E-2</v>
      </c>
      <c r="H31" s="377">
        <v>1.2038699555478078E-2</v>
      </c>
      <c r="I31" s="377">
        <v>5.3682098270656977E-3</v>
      </c>
      <c r="J31" s="210"/>
      <c r="K31" s="210"/>
      <c r="L31" s="210"/>
      <c r="M31" s="210"/>
      <c r="N31" s="210"/>
      <c r="O31" s="210"/>
      <c r="P31" s="210"/>
    </row>
    <row r="32" spans="1:16">
      <c r="A32" s="212"/>
      <c r="B32" s="215" t="s">
        <v>150</v>
      </c>
      <c r="C32" s="217"/>
      <c r="D32" s="351">
        <v>3.03646624250575</v>
      </c>
      <c r="E32" s="351">
        <v>0.79420914151104693</v>
      </c>
      <c r="F32" s="351">
        <v>0.33060961127371907</v>
      </c>
      <c r="G32" s="351">
        <v>1.2535945043485501</v>
      </c>
      <c r="H32" s="351">
        <v>3.4196325790940292</v>
      </c>
      <c r="I32" s="351">
        <v>2.1200566467203212</v>
      </c>
      <c r="J32" s="210"/>
      <c r="K32" s="210"/>
      <c r="L32" s="210"/>
      <c r="M32" s="210"/>
      <c r="N32" s="210"/>
      <c r="O32" s="210"/>
      <c r="P32" s="210"/>
    </row>
    <row r="33" spans="1:16">
      <c r="A33" s="210"/>
      <c r="B33" s="210"/>
      <c r="C33" s="210" t="s">
        <v>164</v>
      </c>
      <c r="D33" s="377">
        <v>26.756627289609661</v>
      </c>
      <c r="E33" s="377">
        <v>28.826413224306805</v>
      </c>
      <c r="F33" s="377">
        <v>15.948259229522945</v>
      </c>
      <c r="G33" s="377">
        <v>13.488675485662306</v>
      </c>
      <c r="H33" s="377">
        <v>19.316764895011744</v>
      </c>
      <c r="I33" s="377">
        <v>15.181643314850518</v>
      </c>
      <c r="J33" s="210"/>
      <c r="K33" s="210"/>
      <c r="L33" s="210"/>
      <c r="M33" s="210"/>
      <c r="N33" s="210"/>
      <c r="O33" s="210"/>
      <c r="P33" s="210"/>
    </row>
    <row r="34" spans="1:16" ht="13.5" customHeight="1">
      <c r="A34" s="212"/>
      <c r="B34" s="212"/>
      <c r="C34" s="216" t="s">
        <v>12</v>
      </c>
      <c r="D34" s="377">
        <v>0</v>
      </c>
      <c r="E34" s="377">
        <v>0</v>
      </c>
      <c r="F34" s="377">
        <v>0</v>
      </c>
      <c r="G34" s="377">
        <v>0</v>
      </c>
      <c r="H34" s="377">
        <v>4.7739435527944284E-3</v>
      </c>
      <c r="I34" s="377">
        <v>3.3797384220723343E-3</v>
      </c>
      <c r="J34" s="210"/>
      <c r="K34" s="210"/>
      <c r="L34" s="210"/>
      <c r="M34" s="210"/>
      <c r="N34" s="210"/>
      <c r="O34" s="210"/>
      <c r="P34" s="210"/>
    </row>
    <row r="35" spans="1:16" ht="13.5" customHeight="1">
      <c r="A35" s="212"/>
      <c r="B35" s="212"/>
      <c r="C35" s="216" t="s">
        <v>13</v>
      </c>
      <c r="D35" s="377">
        <v>22.993524752528611</v>
      </c>
      <c r="E35" s="377">
        <v>17.147696964906519</v>
      </c>
      <c r="F35" s="377">
        <v>5.6831846144961862</v>
      </c>
      <c r="G35" s="377">
        <v>4.5602612834674066</v>
      </c>
      <c r="H35" s="377">
        <v>8.8829740002272324</v>
      </c>
      <c r="I35" s="377">
        <v>3.6283129705373609</v>
      </c>
      <c r="J35" s="210"/>
      <c r="K35" s="210"/>
      <c r="L35" s="210"/>
      <c r="M35" s="210"/>
      <c r="N35" s="210"/>
      <c r="O35" s="210"/>
      <c r="P35" s="210"/>
    </row>
    <row r="36" spans="1:16" ht="14.25" customHeight="1">
      <c r="A36" s="218"/>
      <c r="B36" s="218"/>
      <c r="C36" s="219" t="s">
        <v>14</v>
      </c>
      <c r="D36" s="378">
        <v>3.7631025370810471</v>
      </c>
      <c r="E36" s="378">
        <v>11.678716259400282</v>
      </c>
      <c r="F36" s="378">
        <v>10.265074615026759</v>
      </c>
      <c r="G36" s="378">
        <v>8.9284142021948991</v>
      </c>
      <c r="H36" s="378">
        <v>10.429016951231716</v>
      </c>
      <c r="I36" s="378">
        <v>11.549950605891084</v>
      </c>
      <c r="J36" s="210"/>
      <c r="K36" s="210"/>
      <c r="L36" s="210"/>
      <c r="M36" s="210"/>
      <c r="N36" s="210"/>
      <c r="O36" s="210"/>
      <c r="P36" s="210"/>
    </row>
    <row r="37" spans="1:16">
      <c r="A37" s="270" t="s">
        <v>238</v>
      </c>
      <c r="B37" s="210"/>
      <c r="C37" s="210"/>
      <c r="D37" s="210"/>
      <c r="E37" s="210"/>
      <c r="F37" s="210"/>
      <c r="G37" s="210"/>
      <c r="H37" s="210"/>
      <c r="I37" s="210"/>
      <c r="J37" s="330"/>
      <c r="K37" s="330"/>
      <c r="L37" s="330"/>
      <c r="M37" s="330"/>
      <c r="N37" s="330"/>
      <c r="O37" s="330"/>
      <c r="P37" s="330"/>
    </row>
    <row r="38" spans="1:16">
      <c r="B38" s="210"/>
      <c r="C38" s="210"/>
      <c r="D38" s="210"/>
      <c r="E38" s="210"/>
      <c r="F38" s="210"/>
      <c r="G38" s="210"/>
      <c r="H38" s="210"/>
      <c r="I38" s="210"/>
      <c r="J38" s="330"/>
      <c r="K38" s="330"/>
      <c r="L38" s="330"/>
      <c r="M38" s="330"/>
      <c r="N38" s="330"/>
      <c r="O38" s="330"/>
      <c r="P38" s="330"/>
    </row>
    <row r="39" spans="1:16">
      <c r="A39" s="210" t="s">
        <v>170</v>
      </c>
      <c r="B39" s="330"/>
      <c r="C39" s="330"/>
      <c r="D39" s="330"/>
      <c r="E39" s="330"/>
      <c r="F39" s="330"/>
      <c r="G39" s="330"/>
      <c r="H39" s="330"/>
      <c r="I39" s="330"/>
      <c r="J39" s="330"/>
      <c r="K39" s="330"/>
      <c r="L39" s="330"/>
      <c r="M39" s="330"/>
      <c r="N39" s="330"/>
      <c r="O39" s="330"/>
      <c r="P39" s="330"/>
    </row>
  </sheetData>
  <mergeCells count="7">
    <mergeCell ref="D9:I9"/>
    <mergeCell ref="A9:C10"/>
    <mergeCell ref="A3:I3"/>
    <mergeCell ref="A5:I5"/>
    <mergeCell ref="A6:I6"/>
    <mergeCell ref="A7:I7"/>
    <mergeCell ref="A4:I4"/>
  </mergeCells>
  <hyperlinks>
    <hyperlink ref="J1" location="Indice!A1" display="Cuadro 10. Cuenta de gastos y transacciones ambientales: gasto ambiental per cápita con base en gastos de la administración central del Gobierno de Guatemala"/>
    <hyperlink ref="A1" location="Indice!A1" display="Cuadro 32. Cuenta de gastos y transacciones ambientales: gasto ambiental per cápita con base en gastos de la administración central del Gobierno de Guatemala, según clasificación económica, quetzales de cada año, incluye agua y saneamiento"/>
  </hyperlinks>
  <pageMargins left="0.7" right="0.7" top="0.75" bottom="0.75" header="0.3" footer="0.3"/>
  <pageSetup scale="87" orientation="portrait" r:id="rId1"/>
</worksheet>
</file>

<file path=xl/worksheets/sheet36.xml><?xml version="1.0" encoding="utf-8"?>
<worksheet xmlns="http://schemas.openxmlformats.org/spreadsheetml/2006/main" xmlns:r="http://schemas.openxmlformats.org/officeDocument/2006/relationships">
  <sheetPr>
    <tabColor theme="3" tint="0.39997558519241921"/>
    <pageSetUpPr fitToPage="1"/>
  </sheetPr>
  <dimension ref="A1:I27"/>
  <sheetViews>
    <sheetView showGridLines="0" topLeftCell="A2" workbookViewId="0">
      <selection activeCell="A2" sqref="A2"/>
    </sheetView>
  </sheetViews>
  <sheetFormatPr baseColWidth="10" defaultRowHeight="12.75"/>
  <cols>
    <col min="1" max="1" width="0.83203125" customWidth="1"/>
    <col min="2" max="2" width="1.6640625" customWidth="1"/>
    <col min="3" max="3" width="52" customWidth="1"/>
  </cols>
  <sheetData>
    <row r="1" spans="1:9" hidden="1">
      <c r="A1" s="44"/>
      <c r="B1" s="44"/>
      <c r="C1" s="8" t="s">
        <v>325</v>
      </c>
      <c r="D1" s="44"/>
      <c r="E1" s="44"/>
      <c r="F1" s="44"/>
      <c r="G1" s="44"/>
      <c r="H1" s="44"/>
      <c r="I1" s="44"/>
    </row>
    <row r="2" spans="1:9">
      <c r="A2" s="19" t="s">
        <v>199</v>
      </c>
      <c r="B2" s="19"/>
      <c r="C2" s="105"/>
      <c r="D2" s="19"/>
      <c r="E2" s="19"/>
      <c r="F2" s="19"/>
      <c r="G2" s="19"/>
      <c r="H2" s="105"/>
      <c r="I2" s="19"/>
    </row>
    <row r="3" spans="1:9" ht="27.75" customHeight="1">
      <c r="A3" s="545" t="s">
        <v>264</v>
      </c>
      <c r="B3" s="545"/>
      <c r="C3" s="545"/>
      <c r="D3" s="545"/>
      <c r="E3" s="545"/>
      <c r="F3" s="545"/>
      <c r="G3" s="545"/>
      <c r="H3" s="545"/>
      <c r="I3" s="545"/>
    </row>
    <row r="4" spans="1:9">
      <c r="A4" s="113" t="s">
        <v>17</v>
      </c>
      <c r="B4" s="18"/>
      <c r="C4" s="113"/>
      <c r="D4" s="18"/>
      <c r="E4" s="18"/>
      <c r="F4" s="18"/>
      <c r="G4" s="18"/>
      <c r="H4" s="18"/>
      <c r="I4" s="18"/>
    </row>
    <row r="5" spans="1:9">
      <c r="A5" s="90" t="s">
        <v>32</v>
      </c>
      <c r="B5" s="18"/>
      <c r="C5" s="90"/>
      <c r="D5" s="18"/>
      <c r="E5" s="18"/>
      <c r="F5" s="18"/>
      <c r="G5" s="18"/>
      <c r="H5" s="18"/>
      <c r="I5" s="18"/>
    </row>
    <row r="6" spans="1:9" s="529" customFormat="1">
      <c r="A6" s="18" t="s">
        <v>28</v>
      </c>
      <c r="B6" s="18"/>
      <c r="C6" s="90"/>
      <c r="D6" s="18"/>
      <c r="E6" s="18"/>
      <c r="F6" s="18"/>
      <c r="G6" s="18"/>
      <c r="H6" s="18"/>
      <c r="I6" s="18"/>
    </row>
    <row r="7" spans="1:9">
      <c r="B7" s="18"/>
      <c r="C7" s="19"/>
      <c r="D7" s="18"/>
      <c r="E7" s="18"/>
      <c r="F7" s="18"/>
      <c r="G7" s="18"/>
      <c r="H7" s="18"/>
      <c r="I7" s="18"/>
    </row>
    <row r="8" spans="1:9">
      <c r="A8" s="625" t="s">
        <v>157</v>
      </c>
      <c r="B8" s="653"/>
      <c r="C8" s="653"/>
      <c r="D8" s="620" t="s">
        <v>34</v>
      </c>
      <c r="E8" s="804"/>
      <c r="F8" s="804"/>
      <c r="G8" s="804"/>
      <c r="H8" s="804"/>
      <c r="I8" s="804"/>
    </row>
    <row r="9" spans="1:9">
      <c r="A9" s="654"/>
      <c r="B9" s="654"/>
      <c r="C9" s="654"/>
      <c r="D9" s="805">
        <v>2001</v>
      </c>
      <c r="E9" s="805">
        <v>2002</v>
      </c>
      <c r="F9" s="805">
        <v>2003</v>
      </c>
      <c r="G9" s="805">
        <v>2004</v>
      </c>
      <c r="H9" s="805">
        <v>2005</v>
      </c>
      <c r="I9" s="805">
        <v>2006</v>
      </c>
    </row>
    <row r="10" spans="1:9">
      <c r="A10" s="29" t="s">
        <v>262</v>
      </c>
      <c r="B10" s="44"/>
      <c r="C10" s="29"/>
      <c r="D10" s="135"/>
      <c r="E10" s="135"/>
      <c r="F10" s="135"/>
      <c r="G10" s="135"/>
      <c r="H10" s="135"/>
      <c r="I10" s="135"/>
    </row>
    <row r="11" spans="1:9">
      <c r="A11" s="44"/>
      <c r="B11" s="44"/>
      <c r="C11" s="399" t="s">
        <v>164</v>
      </c>
      <c r="D11" s="365">
        <v>0.24774738945967861</v>
      </c>
      <c r="E11" s="365">
        <v>0.42047974916684616</v>
      </c>
      <c r="F11" s="365">
        <v>0</v>
      </c>
      <c r="G11" s="365">
        <v>0.12757393114362989</v>
      </c>
      <c r="H11" s="365">
        <v>0.73947260931055514</v>
      </c>
      <c r="I11" s="365">
        <v>0.31739013958799839</v>
      </c>
    </row>
    <row r="12" spans="1:9">
      <c r="A12" s="44"/>
      <c r="B12" s="44"/>
      <c r="C12" s="399" t="s">
        <v>161</v>
      </c>
      <c r="D12" s="365">
        <v>0.79911572437033696</v>
      </c>
      <c r="E12" s="365">
        <v>0.66568546228078229</v>
      </c>
      <c r="F12" s="365">
        <v>0.67550797741180313</v>
      </c>
      <c r="G12" s="365">
        <v>8.9262900036348892E-3</v>
      </c>
      <c r="H12" s="365">
        <v>0.30081997042412989</v>
      </c>
      <c r="I12" s="365">
        <v>0.10898019977048387</v>
      </c>
    </row>
    <row r="13" spans="1:9" ht="24.75" customHeight="1">
      <c r="A13" s="44"/>
      <c r="B13" s="44"/>
      <c r="C13" s="137" t="s">
        <v>8</v>
      </c>
      <c r="D13" s="365">
        <v>0</v>
      </c>
      <c r="E13" s="365">
        <v>0.1615330875258244</v>
      </c>
      <c r="F13" s="365">
        <v>0</v>
      </c>
      <c r="G13" s="365">
        <v>0</v>
      </c>
      <c r="H13" s="365">
        <v>0</v>
      </c>
      <c r="I13" s="365">
        <v>0</v>
      </c>
    </row>
    <row r="14" spans="1:9">
      <c r="A14" s="44"/>
      <c r="B14" s="44"/>
      <c r="C14" s="76" t="s">
        <v>9</v>
      </c>
      <c r="D14" s="365">
        <v>13.215115220356523</v>
      </c>
      <c r="E14" s="365">
        <v>14.913262032569978</v>
      </c>
      <c r="F14" s="365">
        <v>10.25635966485109</v>
      </c>
      <c r="G14" s="365">
        <v>8.5391983475900055</v>
      </c>
      <c r="H14" s="365">
        <v>8.8534765416041168</v>
      </c>
      <c r="I14" s="365">
        <v>10.050103873310205</v>
      </c>
    </row>
    <row r="15" spans="1:9">
      <c r="A15" s="44"/>
      <c r="B15" s="44"/>
      <c r="C15" s="76" t="s">
        <v>10</v>
      </c>
      <c r="D15" s="365">
        <v>0.74357067272456845</v>
      </c>
      <c r="E15" s="365">
        <v>0.69360802000430311</v>
      </c>
      <c r="F15" s="365">
        <v>0.65965964404501654</v>
      </c>
      <c r="G15" s="365">
        <v>0.47569732538633885</v>
      </c>
      <c r="H15" s="365">
        <v>0.46652317278116512</v>
      </c>
      <c r="I15" s="365">
        <v>0.60209507810460838</v>
      </c>
    </row>
    <row r="16" spans="1:9">
      <c r="A16" s="44"/>
      <c r="B16" s="44"/>
      <c r="C16" s="76" t="s">
        <v>11</v>
      </c>
      <c r="D16" s="365">
        <v>7.7864231474993204</v>
      </c>
      <c r="E16" s="365">
        <v>5.2371993926392353</v>
      </c>
      <c r="F16" s="365">
        <v>3.3901081362561247</v>
      </c>
      <c r="G16" s="365">
        <v>3.6499145065695697</v>
      </c>
      <c r="H16" s="365">
        <v>5.5942316912796564</v>
      </c>
      <c r="I16" s="365">
        <v>4.0246031035801186</v>
      </c>
    </row>
    <row r="17" spans="1:9" s="703" customFormat="1">
      <c r="A17" s="638"/>
      <c r="B17" s="713" t="s">
        <v>556</v>
      </c>
      <c r="C17" s="713"/>
      <c r="D17" s="747">
        <v>22.791972154410431</v>
      </c>
      <c r="E17" s="747">
        <v>22.091767744186967</v>
      </c>
      <c r="F17" s="747">
        <v>14.981635422564036</v>
      </c>
      <c r="G17" s="747">
        <v>12.801310400693175</v>
      </c>
      <c r="H17" s="747">
        <v>15.954523985399621</v>
      </c>
      <c r="I17" s="747">
        <v>15.103172394353415</v>
      </c>
    </row>
    <row r="18" spans="1:9">
      <c r="A18" s="29" t="s">
        <v>263</v>
      </c>
      <c r="B18" s="44"/>
      <c r="C18" s="29"/>
      <c r="D18" s="365"/>
      <c r="E18" s="365"/>
      <c r="F18" s="365"/>
      <c r="G18" s="365"/>
      <c r="H18" s="365"/>
      <c r="I18" s="365"/>
    </row>
    <row r="19" spans="1:9">
      <c r="A19" s="44"/>
      <c r="B19" s="44"/>
      <c r="C19" s="109" t="s">
        <v>12</v>
      </c>
      <c r="D19" s="365">
        <v>1.4791293687318281</v>
      </c>
      <c r="E19" s="365">
        <v>1.3357960946135732</v>
      </c>
      <c r="F19" s="365">
        <v>0.97884805426493737</v>
      </c>
      <c r="G19" s="365">
        <v>0.23319160783771997</v>
      </c>
      <c r="H19" s="365">
        <v>0.18589973115049541</v>
      </c>
      <c r="I19" s="365">
        <v>0.10485886540133989</v>
      </c>
    </row>
    <row r="20" spans="1:9">
      <c r="A20" s="44"/>
      <c r="B20" s="44"/>
      <c r="C20" s="76" t="s">
        <v>13</v>
      </c>
      <c r="D20" s="365">
        <v>23.713465626962147</v>
      </c>
      <c r="E20" s="365">
        <v>16.66882054834176</v>
      </c>
      <c r="F20" s="365">
        <v>7.9998655408692043</v>
      </c>
      <c r="G20" s="365">
        <v>4.3484174119333723</v>
      </c>
      <c r="H20" s="365">
        <v>7.6798402323601245</v>
      </c>
      <c r="I20" s="365">
        <v>3.3254962784011384</v>
      </c>
    </row>
    <row r="21" spans="1:9">
      <c r="A21" s="44"/>
      <c r="B21" s="44"/>
      <c r="C21" s="76" t="s">
        <v>14</v>
      </c>
      <c r="D21" s="365">
        <v>4.9458011329096943</v>
      </c>
      <c r="E21" s="365">
        <v>13.583579266205648</v>
      </c>
      <c r="F21" s="365">
        <v>10.925178658920892</v>
      </c>
      <c r="G21" s="365">
        <v>10.528104662772298</v>
      </c>
      <c r="H21" s="365">
        <v>9.8263998535147046</v>
      </c>
      <c r="I21" s="365">
        <v>10.54193187880646</v>
      </c>
    </row>
    <row r="22" spans="1:9">
      <c r="A22" s="44"/>
      <c r="B22" s="44"/>
      <c r="C22" s="109" t="s">
        <v>15</v>
      </c>
      <c r="D22" s="365">
        <v>0.61041670850120389</v>
      </c>
      <c r="E22" s="365">
        <v>0</v>
      </c>
      <c r="F22" s="365">
        <v>0.44643192582497448</v>
      </c>
      <c r="G22" s="365">
        <v>0.19253670141174983</v>
      </c>
      <c r="H22" s="365">
        <v>0.16727475650299997</v>
      </c>
      <c r="I22" s="365">
        <v>0.23678446001577932</v>
      </c>
    </row>
    <row r="23" spans="1:9" s="703" customFormat="1">
      <c r="A23" s="638"/>
      <c r="B23" s="713" t="s">
        <v>557</v>
      </c>
      <c r="C23" s="713"/>
      <c r="D23" s="747">
        <v>30.748812837104872</v>
      </c>
      <c r="E23" s="747">
        <v>31.58819590916098</v>
      </c>
      <c r="F23" s="747">
        <v>20.350324179880005</v>
      </c>
      <c r="G23" s="747">
        <v>15.302250383955137</v>
      </c>
      <c r="H23" s="747">
        <v>17.859414573528323</v>
      </c>
      <c r="I23" s="747">
        <v>14.209071482624715</v>
      </c>
    </row>
    <row r="24" spans="1:9" ht="16.5">
      <c r="A24" s="344" t="s">
        <v>571</v>
      </c>
      <c r="B24" s="354"/>
      <c r="C24" s="344"/>
      <c r="D24" s="370">
        <v>53.540784991515295</v>
      </c>
      <c r="E24" s="370">
        <v>53.679963653347961</v>
      </c>
      <c r="F24" s="370">
        <v>35.331959602444037</v>
      </c>
      <c r="G24" s="370">
        <v>28.103560784648316</v>
      </c>
      <c r="H24" s="370">
        <v>33.813938558927944</v>
      </c>
      <c r="I24" s="370">
        <v>29.312243876978133</v>
      </c>
    </row>
    <row r="25" spans="1:9">
      <c r="A25" s="373" t="s">
        <v>238</v>
      </c>
      <c r="B25" s="44"/>
      <c r="C25" s="76"/>
      <c r="D25" s="44"/>
      <c r="E25" s="44"/>
      <c r="F25" s="44"/>
      <c r="G25" s="44"/>
      <c r="H25" s="44"/>
      <c r="I25" s="44"/>
    </row>
    <row r="26" spans="1:9">
      <c r="B26" s="44"/>
      <c r="C26" s="76"/>
      <c r="D26" s="44"/>
      <c r="E26" s="44"/>
      <c r="F26" s="44"/>
      <c r="G26" s="44"/>
      <c r="H26" s="44"/>
      <c r="I26" s="44"/>
    </row>
    <row r="27" spans="1:9">
      <c r="A27" s="40" t="s">
        <v>170</v>
      </c>
    </row>
  </sheetData>
  <mergeCells count="3">
    <mergeCell ref="A3:I3"/>
    <mergeCell ref="A8:C9"/>
    <mergeCell ref="D8:I8"/>
  </mergeCells>
  <hyperlinks>
    <hyperlink ref="C1" location="Indice!A1" display="Cuadro 4.4 Gasto ambiental per cápita 25/"/>
  </hyperlinks>
  <pageMargins left="0.7" right="0.7" top="0.75" bottom="0.75" header="0.3" footer="0.3"/>
  <pageSetup scale="88" orientation="portrait" r:id="rId1"/>
</worksheet>
</file>

<file path=xl/worksheets/sheet37.xml><?xml version="1.0" encoding="utf-8"?>
<worksheet xmlns="http://schemas.openxmlformats.org/spreadsheetml/2006/main" xmlns:r="http://schemas.openxmlformats.org/officeDocument/2006/relationships">
  <sheetPr>
    <tabColor theme="3" tint="0.39997558519241921"/>
    <pageSetUpPr fitToPage="1"/>
  </sheetPr>
  <dimension ref="A1:K36"/>
  <sheetViews>
    <sheetView topLeftCell="A2" workbookViewId="0">
      <selection activeCell="A2" sqref="A2"/>
    </sheetView>
  </sheetViews>
  <sheetFormatPr baseColWidth="10" defaultRowHeight="12.75"/>
  <cols>
    <col min="1" max="1" width="14.33203125" style="49" customWidth="1"/>
    <col min="2" max="2" width="15.1640625" style="49" customWidth="1"/>
    <col min="3" max="3" width="15" style="49" customWidth="1"/>
    <col min="4" max="4" width="14.5" style="49" customWidth="1"/>
    <col min="5" max="5" width="15.1640625" style="49" customWidth="1"/>
    <col min="6" max="16384" width="12" style="49"/>
  </cols>
  <sheetData>
    <row r="1" spans="1:11" hidden="1">
      <c r="A1" s="122" t="s">
        <v>326</v>
      </c>
      <c r="B1" s="123"/>
      <c r="C1" s="123"/>
      <c r="D1" s="123"/>
      <c r="E1" s="123"/>
    </row>
    <row r="2" spans="1:11">
      <c r="A2" s="19" t="s">
        <v>200</v>
      </c>
      <c r="B2" s="19"/>
      <c r="C2" s="105"/>
      <c r="D2" s="19"/>
      <c r="E2" s="19"/>
    </row>
    <row r="3" spans="1:11">
      <c r="A3" s="545" t="s">
        <v>275</v>
      </c>
      <c r="B3" s="545"/>
      <c r="C3" s="545"/>
      <c r="D3" s="545"/>
      <c r="E3" s="545"/>
    </row>
    <row r="4" spans="1:11">
      <c r="A4" s="545"/>
      <c r="B4" s="545"/>
      <c r="C4" s="545"/>
      <c r="D4" s="545"/>
      <c r="E4" s="545"/>
    </row>
    <row r="5" spans="1:11">
      <c r="A5" s="19" t="s">
        <v>181</v>
      </c>
      <c r="B5" s="130"/>
      <c r="C5" s="130"/>
      <c r="D5" s="130"/>
      <c r="E5" s="130"/>
    </row>
    <row r="6" spans="1:11">
      <c r="A6" s="556" t="s">
        <v>33</v>
      </c>
      <c r="B6" s="556"/>
      <c r="C6" s="556"/>
      <c r="D6" s="556"/>
      <c r="E6" s="556"/>
    </row>
    <row r="7" spans="1:11">
      <c r="C7" s="530" t="s">
        <v>28</v>
      </c>
      <c r="D7" s="531"/>
      <c r="E7" s="531"/>
    </row>
    <row r="8" spans="1:11">
      <c r="B8" s="124"/>
      <c r="C8" s="124"/>
      <c r="D8" s="124"/>
      <c r="E8" s="124"/>
    </row>
    <row r="9" spans="1:11">
      <c r="A9" s="803" t="s">
        <v>34</v>
      </c>
      <c r="B9" s="802" t="s">
        <v>35</v>
      </c>
      <c r="C9" s="802" t="s">
        <v>36</v>
      </c>
      <c r="D9" s="802" t="s">
        <v>37</v>
      </c>
      <c r="E9" s="802" t="s">
        <v>38</v>
      </c>
      <c r="F9" s="123"/>
      <c r="G9" s="123"/>
      <c r="H9" s="123"/>
      <c r="I9" s="123"/>
      <c r="J9" s="123"/>
      <c r="K9" s="123"/>
    </row>
    <row r="10" spans="1:11" ht="16.5" customHeight="1">
      <c r="A10" s="126">
        <v>2001</v>
      </c>
      <c r="B10" s="127">
        <v>4.580074184567839</v>
      </c>
      <c r="C10" s="127">
        <v>11.114869587974772</v>
      </c>
      <c r="D10" s="127">
        <v>32.785833333332434</v>
      </c>
      <c r="E10" s="127">
        <v>33.587666666666699</v>
      </c>
      <c r="F10" s="123"/>
      <c r="G10" s="123"/>
      <c r="H10" s="123"/>
      <c r="I10" s="123"/>
      <c r="J10" s="123"/>
      <c r="K10" s="123"/>
    </row>
    <row r="11" spans="1:11" ht="15.75" customHeight="1">
      <c r="A11" s="126">
        <v>2002</v>
      </c>
      <c r="B11" s="127">
        <v>5.0806203688009566</v>
      </c>
      <c r="C11" s="127">
        <v>10.804828508280723</v>
      </c>
      <c r="D11" s="127">
        <v>33.781666666665473</v>
      </c>
      <c r="E11" s="127">
        <v>36.182516339869316</v>
      </c>
      <c r="F11" s="123"/>
      <c r="G11" s="123"/>
      <c r="H11" s="123"/>
      <c r="I11" s="123"/>
      <c r="J11" s="123"/>
      <c r="K11" s="123"/>
    </row>
    <row r="12" spans="1:11" ht="15" customHeight="1">
      <c r="A12" s="126">
        <v>2003</v>
      </c>
      <c r="B12" s="127">
        <v>4.7041215946946151</v>
      </c>
      <c r="C12" s="127">
        <v>9.9264455780671188</v>
      </c>
      <c r="D12" s="127">
        <v>36.503070175437266</v>
      </c>
      <c r="E12" s="127">
        <v>39.053074433656988</v>
      </c>
      <c r="F12" s="123"/>
      <c r="G12" s="123"/>
      <c r="H12" s="123"/>
      <c r="I12" s="123"/>
      <c r="J12" s="123"/>
      <c r="K12" s="123"/>
    </row>
    <row r="13" spans="1:11" ht="15.75" customHeight="1">
      <c r="A13" s="126">
        <v>2004</v>
      </c>
      <c r="B13" s="127">
        <v>3.7541864876815323</v>
      </c>
      <c r="C13" s="127">
        <v>11.665646228858799</v>
      </c>
      <c r="D13" s="127">
        <v>38.218717948716538</v>
      </c>
      <c r="E13" s="127">
        <v>41.469682539682573</v>
      </c>
      <c r="F13" s="123"/>
      <c r="G13" s="123"/>
      <c r="H13" s="123"/>
      <c r="I13" s="123"/>
      <c r="J13" s="123"/>
      <c r="K13" s="123"/>
    </row>
    <row r="14" spans="1:11" ht="16.5" customHeight="1">
      <c r="A14" s="126">
        <v>2005</v>
      </c>
      <c r="B14" s="127">
        <v>4.1767956568363394</v>
      </c>
      <c r="C14" s="127">
        <v>13.786744013737664</v>
      </c>
      <c r="D14" s="127">
        <v>40.870341880340334</v>
      </c>
      <c r="E14" s="127">
        <v>44.209119496855372</v>
      </c>
      <c r="F14" s="123"/>
      <c r="G14" s="123"/>
      <c r="H14" s="123"/>
      <c r="I14" s="123"/>
      <c r="J14" s="123"/>
      <c r="K14" s="123"/>
    </row>
    <row r="15" spans="1:11" ht="16.5" customHeight="1">
      <c r="A15" s="128">
        <v>2006</v>
      </c>
      <c r="B15" s="129">
        <v>4.2041842201292488</v>
      </c>
      <c r="C15" s="129">
        <v>14.121100863120494</v>
      </c>
      <c r="D15" s="129">
        <v>42.433916666665027</v>
      </c>
      <c r="E15" s="129">
        <v>46.463117283950652</v>
      </c>
      <c r="F15" s="123"/>
      <c r="G15" s="123"/>
      <c r="H15" s="123"/>
      <c r="I15" s="123"/>
      <c r="J15" s="123"/>
      <c r="K15" s="123"/>
    </row>
    <row r="16" spans="1:11" ht="12" customHeight="1">
      <c r="F16" s="123"/>
      <c r="G16" s="123"/>
      <c r="H16" s="123"/>
      <c r="I16" s="123"/>
      <c r="J16" s="123"/>
      <c r="K16" s="123"/>
    </row>
    <row r="17" spans="1:11" ht="40.5" customHeight="1">
      <c r="A17" s="801" t="s">
        <v>277</v>
      </c>
      <c r="B17" s="801"/>
      <c r="C17" s="801"/>
      <c r="D17" s="801"/>
      <c r="E17" s="801"/>
      <c r="F17" s="123"/>
      <c r="G17" s="123"/>
      <c r="H17" s="123"/>
      <c r="I17" s="123"/>
      <c r="J17" s="123"/>
      <c r="K17" s="123"/>
    </row>
    <row r="34" spans="1:1">
      <c r="A34" s="107"/>
    </row>
    <row r="35" spans="1:1">
      <c r="A35" s="134"/>
    </row>
    <row r="36" spans="1:1">
      <c r="A36" s="30"/>
    </row>
  </sheetData>
  <mergeCells count="3">
    <mergeCell ref="A6:E6"/>
    <mergeCell ref="A17:E17"/>
    <mergeCell ref="A3:E4"/>
  </mergeCells>
  <hyperlinks>
    <hyperlink ref="A1" location="Indice!A1" display="Cuadro 4.6 Comparación del gasto ambiental per cápita "/>
  </hyperlinks>
  <pageMargins left="0.7" right="0.7" top="0.75" bottom="0.75" header="0.3" footer="0.3"/>
  <pageSetup orientation="portrait" r:id="rId1"/>
</worksheet>
</file>

<file path=xl/worksheets/sheet38.xml><?xml version="1.0" encoding="utf-8"?>
<worksheet xmlns="http://schemas.openxmlformats.org/spreadsheetml/2006/main" xmlns:r="http://schemas.openxmlformats.org/officeDocument/2006/relationships">
  <sheetPr>
    <tabColor theme="3" tint="0.39997558519241921"/>
    <pageSetUpPr fitToPage="1"/>
  </sheetPr>
  <dimension ref="A1:K21"/>
  <sheetViews>
    <sheetView showGridLines="0" topLeftCell="A6" workbookViewId="0">
      <selection activeCell="A6" sqref="A6:K6"/>
    </sheetView>
  </sheetViews>
  <sheetFormatPr baseColWidth="10" defaultRowHeight="12.75"/>
  <sheetData>
    <row r="1" spans="1:11" hidden="1">
      <c r="A1" s="122" t="s">
        <v>327</v>
      </c>
      <c r="B1" s="125"/>
      <c r="C1" s="125"/>
      <c r="D1" s="125"/>
      <c r="E1" s="125"/>
      <c r="F1" s="125"/>
      <c r="G1" s="125"/>
      <c r="H1" s="125"/>
      <c r="I1" s="125"/>
      <c r="J1" s="125"/>
      <c r="K1" s="125"/>
    </row>
    <row r="2" spans="1:11" hidden="1">
      <c r="B2" s="130"/>
      <c r="C2" s="130"/>
      <c r="D2" s="130"/>
      <c r="E2" s="130"/>
      <c r="F2" s="130"/>
      <c r="G2" s="130"/>
      <c r="H2" s="130"/>
      <c r="I2" s="130"/>
      <c r="J2" s="130"/>
      <c r="K2" s="130"/>
    </row>
    <row r="3" spans="1:11" hidden="1">
      <c r="A3" s="125"/>
      <c r="B3" s="130"/>
      <c r="C3" s="130"/>
      <c r="D3" s="130"/>
      <c r="E3" s="130"/>
      <c r="F3" s="130"/>
      <c r="G3" s="130"/>
      <c r="H3" s="130"/>
      <c r="I3" s="130"/>
      <c r="J3" s="130"/>
      <c r="K3" s="130"/>
    </row>
    <row r="4" spans="1:11" hidden="1">
      <c r="B4" s="130"/>
      <c r="C4" s="130"/>
      <c r="D4" s="130"/>
      <c r="E4" s="130"/>
      <c r="F4" s="130"/>
      <c r="G4" s="130"/>
      <c r="H4" s="130"/>
      <c r="I4" s="130"/>
      <c r="J4" s="130"/>
      <c r="K4" s="130"/>
    </row>
    <row r="5" spans="1:11" hidden="1">
      <c r="B5" s="130"/>
      <c r="C5" s="130"/>
      <c r="D5" s="130"/>
      <c r="E5" s="130"/>
      <c r="F5" s="130"/>
      <c r="G5" s="130"/>
      <c r="H5" s="130"/>
      <c r="I5" s="130"/>
      <c r="J5" s="130"/>
      <c r="K5" s="130"/>
    </row>
    <row r="6" spans="1:11">
      <c r="A6" s="537" t="s">
        <v>201</v>
      </c>
      <c r="B6" s="537"/>
      <c r="C6" s="537"/>
      <c r="D6" s="537"/>
      <c r="E6" s="537"/>
      <c r="F6" s="537"/>
      <c r="G6" s="537"/>
      <c r="H6" s="537"/>
      <c r="I6" s="537"/>
      <c r="J6" s="537"/>
      <c r="K6" s="537"/>
    </row>
    <row r="7" spans="1:11">
      <c r="A7" s="550" t="s">
        <v>276</v>
      </c>
      <c r="B7" s="550"/>
      <c r="C7" s="550"/>
      <c r="D7" s="550"/>
      <c r="E7" s="550"/>
      <c r="F7" s="550"/>
      <c r="G7" s="550"/>
      <c r="H7" s="550"/>
      <c r="I7" s="550"/>
      <c r="J7" s="550"/>
      <c r="K7" s="550"/>
    </row>
    <row r="8" spans="1:11">
      <c r="A8" s="552" t="s">
        <v>17</v>
      </c>
      <c r="B8" s="552"/>
      <c r="C8" s="552"/>
      <c r="D8" s="552"/>
      <c r="E8" s="552"/>
      <c r="F8" s="552"/>
      <c r="G8" s="552"/>
      <c r="H8" s="552"/>
      <c r="I8" s="552"/>
      <c r="J8" s="552"/>
      <c r="K8" s="552"/>
    </row>
    <row r="9" spans="1:11">
      <c r="A9" s="546" t="s">
        <v>33</v>
      </c>
      <c r="B9" s="546"/>
      <c r="C9" s="546"/>
      <c r="D9" s="546"/>
      <c r="E9" s="546"/>
      <c r="F9" s="546"/>
      <c r="G9" s="546"/>
      <c r="H9" s="546"/>
      <c r="I9" s="546"/>
      <c r="J9" s="546"/>
      <c r="K9" s="546"/>
    </row>
    <row r="10" spans="1:11" s="529" customFormat="1">
      <c r="A10" s="704" t="s">
        <v>28</v>
      </c>
      <c r="B10" s="704"/>
      <c r="C10" s="704"/>
      <c r="D10" s="704"/>
      <c r="E10" s="704"/>
      <c r="F10" s="704"/>
      <c r="G10" s="704"/>
      <c r="H10" s="704"/>
      <c r="I10" s="704"/>
      <c r="J10" s="704"/>
      <c r="K10" s="704"/>
    </row>
    <row r="12" spans="1:11">
      <c r="A12" s="795" t="s">
        <v>39</v>
      </c>
      <c r="B12" s="799" t="s">
        <v>35</v>
      </c>
      <c r="C12" s="799"/>
      <c r="D12" s="799"/>
      <c r="E12" s="797" t="s">
        <v>40</v>
      </c>
      <c r="F12" s="797"/>
      <c r="G12" s="797"/>
      <c r="H12" s="799" t="s">
        <v>37</v>
      </c>
      <c r="I12" s="799"/>
      <c r="J12" s="799"/>
      <c r="K12" s="799"/>
    </row>
    <row r="13" spans="1:11">
      <c r="A13" s="796"/>
      <c r="B13" s="800" t="s">
        <v>41</v>
      </c>
      <c r="C13" s="800" t="s">
        <v>0</v>
      </c>
      <c r="D13" s="800" t="s">
        <v>6</v>
      </c>
      <c r="E13" s="798" t="s">
        <v>41</v>
      </c>
      <c r="F13" s="798" t="s">
        <v>0</v>
      </c>
      <c r="G13" s="798" t="s">
        <v>6</v>
      </c>
      <c r="H13" s="800" t="s">
        <v>41</v>
      </c>
      <c r="I13" s="800" t="s">
        <v>0</v>
      </c>
      <c r="J13" s="800" t="s">
        <v>42</v>
      </c>
      <c r="K13" s="800" t="s">
        <v>6</v>
      </c>
    </row>
    <row r="14" spans="1:11">
      <c r="A14" s="126">
        <v>2001</v>
      </c>
      <c r="B14" s="127">
        <v>2.6174387435367503</v>
      </c>
      <c r="C14" s="127">
        <v>2.1773384238270315</v>
      </c>
      <c r="D14" s="127">
        <v>4.7947771673637813</v>
      </c>
      <c r="E14" s="131">
        <v>7</v>
      </c>
      <c r="F14" s="131">
        <v>5</v>
      </c>
      <c r="G14" s="131">
        <v>11</v>
      </c>
      <c r="H14" s="127">
        <v>14.817206790121917</v>
      </c>
      <c r="I14" s="127">
        <v>8.0896913580247407</v>
      </c>
      <c r="J14" s="127">
        <v>9.8789351851857763</v>
      </c>
      <c r="K14" s="127">
        <v>32.785833333332434</v>
      </c>
    </row>
    <row r="15" spans="1:11">
      <c r="A15" s="126">
        <v>2002</v>
      </c>
      <c r="B15" s="127">
        <v>2.7816997675360273</v>
      </c>
      <c r="C15" s="127">
        <v>2.665310655923641</v>
      </c>
      <c r="D15" s="127">
        <v>5.4470104234596679</v>
      </c>
      <c r="E15" s="131">
        <v>6</v>
      </c>
      <c r="F15" s="131">
        <v>5</v>
      </c>
      <c r="G15" s="131">
        <v>11</v>
      </c>
      <c r="H15" s="127">
        <v>15.192485380115343</v>
      </c>
      <c r="I15" s="127">
        <v>8.607163742689842</v>
      </c>
      <c r="J15" s="127">
        <v>9.9820175438602909</v>
      </c>
      <c r="K15" s="127">
        <v>33.781666666665473</v>
      </c>
    </row>
    <row r="16" spans="1:11">
      <c r="A16" s="126">
        <v>2003</v>
      </c>
      <c r="B16" s="127">
        <v>2.1862582736211542</v>
      </c>
      <c r="C16" s="127">
        <v>2.5541382715862526</v>
      </c>
      <c r="D16" s="127">
        <v>4.7403965452074068</v>
      </c>
      <c r="E16" s="131">
        <v>6</v>
      </c>
      <c r="F16" s="131">
        <v>4</v>
      </c>
      <c r="G16" s="131">
        <v>10</v>
      </c>
      <c r="H16" s="127">
        <v>16.347616959062528</v>
      </c>
      <c r="I16" s="127">
        <v>9.5504093567248951</v>
      </c>
      <c r="J16" s="127">
        <v>10.605043859649843</v>
      </c>
      <c r="K16" s="127">
        <v>36.503070175437266</v>
      </c>
    </row>
    <row r="17" spans="1:11">
      <c r="A17" s="126">
        <v>2004</v>
      </c>
      <c r="B17" s="127">
        <v>1.9635168077038738</v>
      </c>
      <c r="C17" s="127">
        <v>1.9215164481807963</v>
      </c>
      <c r="D17" s="127">
        <v>3.8850332558846699</v>
      </c>
      <c r="E17" s="131">
        <v>7</v>
      </c>
      <c r="F17" s="131">
        <v>5</v>
      </c>
      <c r="G17" s="131">
        <v>12</v>
      </c>
      <c r="H17" s="127">
        <v>17.05396011395818</v>
      </c>
      <c r="I17" s="127">
        <v>10.224586894586642</v>
      </c>
      <c r="J17" s="127">
        <v>10.940170940171718</v>
      </c>
      <c r="K17" s="127">
        <v>38.218717948716538</v>
      </c>
    </row>
    <row r="18" spans="1:11">
      <c r="A18" s="126">
        <v>2005</v>
      </c>
      <c r="B18" s="127">
        <v>1.7272244683428177</v>
      </c>
      <c r="C18" s="127">
        <v>2.689222906407172</v>
      </c>
      <c r="D18" s="127">
        <v>4.4164473747499899</v>
      </c>
      <c r="E18" s="131">
        <v>8</v>
      </c>
      <c r="F18" s="131">
        <v>6</v>
      </c>
      <c r="G18" s="131">
        <v>14</v>
      </c>
      <c r="H18" s="127">
        <v>18.179472934470823</v>
      </c>
      <c r="I18" s="127">
        <v>11.143646723646436</v>
      </c>
      <c r="J18" s="127">
        <v>11.547222222223077</v>
      </c>
      <c r="K18" s="127">
        <v>40.870341880340334</v>
      </c>
    </row>
    <row r="19" spans="1:11">
      <c r="A19" s="128">
        <v>2006</v>
      </c>
      <c r="B19" s="129">
        <v>1.6603653672306715</v>
      </c>
      <c r="C19" s="129">
        <v>2.5544082572779563</v>
      </c>
      <c r="D19" s="129">
        <v>4.214773624508628</v>
      </c>
      <c r="E19" s="132">
        <v>8</v>
      </c>
      <c r="F19" s="132">
        <v>6</v>
      </c>
      <c r="G19" s="132">
        <v>14</v>
      </c>
      <c r="H19" s="129">
        <v>18.822361111108876</v>
      </c>
      <c r="I19" s="129">
        <v>11.761138888888574</v>
      </c>
      <c r="J19" s="129">
        <v>11.850416666667575</v>
      </c>
      <c r="K19" s="129">
        <v>42.433916666665027</v>
      </c>
    </row>
    <row r="20" spans="1:11" ht="14.25" customHeight="1"/>
    <row r="21" spans="1:11" ht="26.25" customHeight="1">
      <c r="A21" s="801" t="s">
        <v>277</v>
      </c>
      <c r="B21" s="801"/>
      <c r="C21" s="801"/>
      <c r="D21" s="801"/>
      <c r="E21" s="801"/>
      <c r="F21" s="801"/>
      <c r="G21" s="801"/>
      <c r="H21" s="801"/>
      <c r="I21" s="801"/>
      <c r="J21" s="801"/>
      <c r="K21" s="801"/>
    </row>
  </sheetData>
  <mergeCells count="10">
    <mergeCell ref="A8:K8"/>
    <mergeCell ref="A7:K7"/>
    <mergeCell ref="A6:K6"/>
    <mergeCell ref="A21:K21"/>
    <mergeCell ref="H12:K12"/>
    <mergeCell ref="A12:A13"/>
    <mergeCell ref="B12:D12"/>
    <mergeCell ref="E12:G12"/>
    <mergeCell ref="A10:K10"/>
    <mergeCell ref="A9:K9"/>
  </mergeCells>
  <hyperlinks>
    <hyperlink ref="A1" location="Indice!A1" display="Cuadro 4.6 Comparación del gasto ambiental per cápita "/>
  </hyperlinks>
  <pageMargins left="0.7" right="0.7" top="0.75" bottom="0.75" header="0.3" footer="0.3"/>
  <pageSetup scale="84" orientation="portrait" r:id="rId1"/>
</worksheet>
</file>

<file path=xl/worksheets/sheet39.xml><?xml version="1.0" encoding="utf-8"?>
<worksheet xmlns="http://schemas.openxmlformats.org/spreadsheetml/2006/main" xmlns:r="http://schemas.openxmlformats.org/officeDocument/2006/relationships">
  <sheetPr>
    <tabColor theme="3" tint="0.39997558519241921"/>
    <pageSetUpPr fitToPage="1"/>
  </sheetPr>
  <dimension ref="A1:G24"/>
  <sheetViews>
    <sheetView topLeftCell="A2" workbookViewId="0">
      <selection activeCell="A2" sqref="A2"/>
    </sheetView>
  </sheetViews>
  <sheetFormatPr baseColWidth="10" defaultRowHeight="12.75"/>
  <cols>
    <col min="1" max="2" width="1" style="44" customWidth="1"/>
    <col min="3" max="3" width="56" style="76" customWidth="1"/>
    <col min="4" max="7" width="15.33203125" style="44" customWidth="1"/>
    <col min="8" max="16384" width="12" style="44"/>
  </cols>
  <sheetData>
    <row r="1" spans="1:7" hidden="1">
      <c r="C1" s="7" t="s">
        <v>328</v>
      </c>
      <c r="D1" s="112"/>
      <c r="E1" s="112"/>
      <c r="F1" s="112"/>
      <c r="G1" s="112"/>
    </row>
    <row r="2" spans="1:7">
      <c r="A2" s="19" t="s">
        <v>278</v>
      </c>
      <c r="B2" s="19"/>
      <c r="C2" s="105"/>
      <c r="D2" s="19"/>
      <c r="E2" s="19"/>
      <c r="F2" s="19"/>
      <c r="G2" s="19"/>
    </row>
    <row r="3" spans="1:7">
      <c r="A3" s="545" t="s">
        <v>495</v>
      </c>
      <c r="B3" s="545"/>
      <c r="C3" s="545"/>
      <c r="D3" s="545"/>
      <c r="E3" s="545"/>
      <c r="F3" s="545"/>
      <c r="G3" s="545"/>
    </row>
    <row r="4" spans="1:7">
      <c r="A4" s="552" t="s">
        <v>18</v>
      </c>
      <c r="B4" s="552"/>
      <c r="C4" s="552"/>
      <c r="D4" s="552"/>
      <c r="E4" s="552"/>
      <c r="F4" s="552"/>
      <c r="G4" s="552"/>
    </row>
    <row r="5" spans="1:7">
      <c r="A5" s="546" t="s">
        <v>246</v>
      </c>
      <c r="B5" s="546"/>
      <c r="C5" s="546"/>
      <c r="D5" s="546"/>
      <c r="E5" s="546"/>
      <c r="F5" s="546"/>
      <c r="G5" s="546"/>
    </row>
    <row r="6" spans="1:7">
      <c r="A6" s="704" t="s">
        <v>29</v>
      </c>
      <c r="B6" s="704"/>
      <c r="C6" s="704"/>
      <c r="D6" s="704"/>
      <c r="E6" s="704"/>
      <c r="F6" s="704"/>
      <c r="G6" s="704"/>
    </row>
    <row r="7" spans="1:7">
      <c r="C7" s="44"/>
    </row>
    <row r="8" spans="1:7">
      <c r="A8" s="783" t="s">
        <v>582</v>
      </c>
      <c r="B8" s="783"/>
      <c r="C8" s="783"/>
      <c r="D8" s="793">
        <v>2005</v>
      </c>
      <c r="E8" s="793"/>
      <c r="F8" s="793">
        <v>2006</v>
      </c>
      <c r="G8" s="793"/>
    </row>
    <row r="9" spans="1:7">
      <c r="A9" s="792"/>
      <c r="B9" s="792"/>
      <c r="C9" s="792"/>
      <c r="D9" s="685" t="s">
        <v>41</v>
      </c>
      <c r="E9" s="685" t="s">
        <v>0</v>
      </c>
      <c r="F9" s="685" t="s">
        <v>41</v>
      </c>
      <c r="G9" s="685" t="s">
        <v>0</v>
      </c>
    </row>
    <row r="10" spans="1:7">
      <c r="A10" s="29" t="s">
        <v>281</v>
      </c>
      <c r="B10" s="114"/>
      <c r="C10" s="114"/>
    </row>
    <row r="11" spans="1:7">
      <c r="C11" s="399" t="s">
        <v>164</v>
      </c>
      <c r="D11" s="400">
        <f>4.03755458070871%</f>
        <v>4.0375545807087097E-2</v>
      </c>
      <c r="E11" s="400">
        <v>0.18749760992353134</v>
      </c>
      <c r="F11" s="400">
        <v>2.8149217578876663E-2</v>
      </c>
      <c r="G11" s="400">
        <v>0.34050678975953635</v>
      </c>
    </row>
    <row r="12" spans="1:7">
      <c r="C12" s="399" t="s">
        <v>161</v>
      </c>
      <c r="D12" s="400">
        <v>0.57643103938007745</v>
      </c>
      <c r="E12" s="400">
        <v>0.81250239007646863</v>
      </c>
      <c r="F12" s="400">
        <v>0.66349220579238233</v>
      </c>
      <c r="G12" s="400">
        <v>0.64233084275506114</v>
      </c>
    </row>
    <row r="13" spans="1:7">
      <c r="A13" s="97"/>
      <c r="B13" s="97"/>
      <c r="C13" s="109" t="s">
        <v>9</v>
      </c>
      <c r="D13" s="400">
        <v>8.8708703587878232E-2</v>
      </c>
      <c r="E13" s="400">
        <v>0</v>
      </c>
      <c r="F13" s="400">
        <v>0.11664169423327621</v>
      </c>
      <c r="G13" s="400">
        <v>1.1476839591458194E-2</v>
      </c>
    </row>
    <row r="14" spans="1:7">
      <c r="A14" s="97"/>
      <c r="B14" s="97"/>
      <c r="C14" s="109" t="s">
        <v>11</v>
      </c>
      <c r="D14" s="400">
        <v>2.8210429963764352E-2</v>
      </c>
      <c r="E14" s="400">
        <v>0</v>
      </c>
      <c r="F14" s="400">
        <v>8.3562942444324426E-2</v>
      </c>
      <c r="G14" s="400">
        <v>5.6855278939444247E-3</v>
      </c>
    </row>
    <row r="15" spans="1:7" s="635" customFormat="1">
      <c r="A15" s="638"/>
      <c r="B15" s="713" t="s">
        <v>556</v>
      </c>
      <c r="C15" s="713"/>
      <c r="D15" s="758">
        <v>0.73372571873880721</v>
      </c>
      <c r="E15" s="758">
        <v>1</v>
      </c>
      <c r="F15" s="758">
        <v>0.89184606004885969</v>
      </c>
      <c r="G15" s="758">
        <v>1</v>
      </c>
    </row>
    <row r="16" spans="1:7">
      <c r="A16" s="117" t="s">
        <v>212</v>
      </c>
      <c r="B16" s="97"/>
      <c r="C16" s="118"/>
      <c r="D16" s="402"/>
      <c r="E16" s="402"/>
      <c r="F16" s="402"/>
      <c r="G16" s="402"/>
    </row>
    <row r="17" spans="1:7">
      <c r="A17" s="97"/>
      <c r="B17" s="97"/>
      <c r="C17" s="109" t="s">
        <v>13</v>
      </c>
      <c r="D17" s="400">
        <v>9.0487633346814422E-2</v>
      </c>
      <c r="E17" s="400">
        <v>0</v>
      </c>
      <c r="F17" s="400">
        <v>6.1100352268389363E-2</v>
      </c>
      <c r="G17" s="400">
        <v>0</v>
      </c>
    </row>
    <row r="18" spans="1:7">
      <c r="A18" s="97"/>
      <c r="B18" s="97"/>
      <c r="C18" s="109" t="s">
        <v>14</v>
      </c>
      <c r="D18" s="400">
        <v>0.17578664791437829</v>
      </c>
      <c r="E18" s="400">
        <v>0</v>
      </c>
      <c r="F18" s="400">
        <v>4.7053587682750954E-2</v>
      </c>
      <c r="G18" s="400">
        <v>0</v>
      </c>
    </row>
    <row r="19" spans="1:7" s="635" customFormat="1">
      <c r="A19" s="638"/>
      <c r="B19" s="713" t="s">
        <v>557</v>
      </c>
      <c r="C19" s="713"/>
      <c r="D19" s="758">
        <v>0.26627428126119268</v>
      </c>
      <c r="E19" s="758">
        <v>0</v>
      </c>
      <c r="F19" s="758">
        <v>0.10815393995114032</v>
      </c>
      <c r="G19" s="758">
        <v>0</v>
      </c>
    </row>
    <row r="20" spans="1:7">
      <c r="A20" s="119" t="s">
        <v>572</v>
      </c>
      <c r="B20" s="99"/>
      <c r="C20" s="119"/>
      <c r="D20" s="405">
        <v>1</v>
      </c>
      <c r="E20" s="405">
        <v>1</v>
      </c>
      <c r="F20" s="405">
        <v>1</v>
      </c>
      <c r="G20" s="405">
        <v>1</v>
      </c>
    </row>
    <row r="21" spans="1:7" ht="13.5" customHeight="1">
      <c r="A21" s="270" t="s">
        <v>240</v>
      </c>
      <c r="B21" s="87"/>
      <c r="C21" s="87"/>
      <c r="D21" s="87"/>
      <c r="E21" s="87"/>
    </row>
    <row r="22" spans="1:7">
      <c r="A22" s="373" t="s">
        <v>214</v>
      </c>
    </row>
    <row r="24" spans="1:7">
      <c r="A24" s="40" t="s">
        <v>170</v>
      </c>
    </row>
  </sheetData>
  <mergeCells count="7">
    <mergeCell ref="A3:G3"/>
    <mergeCell ref="A8:C9"/>
    <mergeCell ref="A4:G4"/>
    <mergeCell ref="A5:G5"/>
    <mergeCell ref="A6:G6"/>
    <mergeCell ref="D8:E8"/>
    <mergeCell ref="F8:G8"/>
  </mergeCells>
  <hyperlinks>
    <hyperlink ref="C1" location="Indice!A1" display="Cuadro 4.7 Estructura porcentual de gasto ambiental de Gobierno Local"/>
  </hyperlinks>
  <pageMargins left="0.7" right="0.7" top="0.75" bottom="0.75" header="0.3" footer="0.3"/>
  <pageSetup scale="93" orientation="portrait" r:id="rId1"/>
</worksheet>
</file>

<file path=xl/worksheets/sheet4.xml><?xml version="1.0" encoding="utf-8"?>
<worksheet xmlns="http://schemas.openxmlformats.org/spreadsheetml/2006/main" xmlns:r="http://schemas.openxmlformats.org/officeDocument/2006/relationships">
  <sheetPr>
    <tabColor theme="3" tint="0.39997558519241921"/>
    <pageSetUpPr fitToPage="1"/>
  </sheetPr>
  <dimension ref="A1:K47"/>
  <sheetViews>
    <sheetView showGridLines="0" topLeftCell="A2" zoomScale="120" zoomScaleNormal="120" workbookViewId="0">
      <selection activeCell="A2" sqref="A2"/>
    </sheetView>
  </sheetViews>
  <sheetFormatPr baseColWidth="10" defaultRowHeight="12.75"/>
  <cols>
    <col min="1" max="1" width="1.5" style="486" customWidth="1"/>
    <col min="2" max="2" width="2.83203125" style="486" customWidth="1"/>
    <col min="3" max="3" width="54.6640625" style="486" customWidth="1"/>
    <col min="4" max="4" width="14" style="486" customWidth="1"/>
    <col min="5" max="5" width="12.1640625" style="486" customWidth="1"/>
    <col min="6" max="6" width="12.5" style="486" customWidth="1"/>
    <col min="7" max="7" width="13.5" style="486" customWidth="1"/>
    <col min="8" max="8" width="14" style="486" customWidth="1"/>
    <col min="9" max="9" width="12.33203125" style="486" customWidth="1"/>
    <col min="10" max="16384" width="12" style="486"/>
  </cols>
  <sheetData>
    <row r="1" spans="1:11" hidden="1">
      <c r="C1" s="502" t="s">
        <v>202</v>
      </c>
      <c r="D1" s="503"/>
      <c r="E1" s="503"/>
      <c r="F1" s="503"/>
      <c r="G1" s="503"/>
    </row>
    <row r="2" spans="1:11">
      <c r="C2" s="488" t="s">
        <v>167</v>
      </c>
      <c r="D2" s="43"/>
      <c r="E2" s="488"/>
      <c r="F2" s="43"/>
      <c r="G2" s="43"/>
      <c r="H2" s="43"/>
      <c r="I2" s="43"/>
    </row>
    <row r="3" spans="1:11" ht="15">
      <c r="A3" s="498" t="s">
        <v>547</v>
      </c>
      <c r="C3" s="488"/>
      <c r="D3" s="43"/>
      <c r="E3" s="488"/>
      <c r="F3" s="43"/>
      <c r="G3" s="43"/>
      <c r="H3" s="43"/>
      <c r="I3" s="43"/>
    </row>
    <row r="4" spans="1:11">
      <c r="B4" s="487"/>
      <c r="C4" s="257" t="s">
        <v>2</v>
      </c>
      <c r="D4" s="488"/>
      <c r="E4" s="257"/>
      <c r="F4" s="488"/>
      <c r="G4" s="43"/>
      <c r="H4" s="43"/>
      <c r="I4" s="43"/>
    </row>
    <row r="5" spans="1:11">
      <c r="B5" s="487"/>
      <c r="C5" s="257" t="s">
        <v>223</v>
      </c>
      <c r="D5" s="504"/>
      <c r="E5" s="257"/>
      <c r="F5" s="504"/>
      <c r="G5" s="504"/>
      <c r="H5" s="504"/>
      <c r="I5" s="505"/>
    </row>
    <row r="6" spans="1:11">
      <c r="B6" s="487"/>
      <c r="C6" s="113" t="s">
        <v>29</v>
      </c>
      <c r="D6" s="504"/>
      <c r="E6" s="257"/>
      <c r="F6" s="504"/>
      <c r="G6" s="504"/>
      <c r="H6" s="504"/>
      <c r="I6" s="505"/>
    </row>
    <row r="7" spans="1:11">
      <c r="B7" s="487"/>
      <c r="D7" s="506"/>
      <c r="E7" s="113"/>
      <c r="F7" s="506"/>
      <c r="G7" s="506"/>
      <c r="H7" s="506"/>
      <c r="I7" s="506"/>
      <c r="K7" s="507"/>
    </row>
    <row r="8" spans="1:11">
      <c r="A8" s="588" t="s">
        <v>157</v>
      </c>
      <c r="B8" s="588"/>
      <c r="C8" s="588"/>
      <c r="D8" s="590"/>
      <c r="E8" s="590">
        <v>2005</v>
      </c>
      <c r="F8" s="590"/>
      <c r="G8" s="592"/>
      <c r="H8" s="592">
        <v>2006</v>
      </c>
      <c r="I8" s="592"/>
    </row>
    <row r="9" spans="1:11">
      <c r="A9" s="589"/>
      <c r="B9" s="589"/>
      <c r="C9" s="589"/>
      <c r="D9" s="591" t="s">
        <v>205</v>
      </c>
      <c r="E9" s="591" t="s">
        <v>0</v>
      </c>
      <c r="F9" s="591" t="s">
        <v>559</v>
      </c>
      <c r="G9" s="593" t="s">
        <v>205</v>
      </c>
      <c r="H9" s="593" t="s">
        <v>0</v>
      </c>
      <c r="I9" s="593" t="s">
        <v>559</v>
      </c>
    </row>
    <row r="10" spans="1:11">
      <c r="B10" s="508" t="s">
        <v>211</v>
      </c>
      <c r="C10" s="508"/>
      <c r="D10" s="509"/>
      <c r="E10" s="509"/>
      <c r="F10" s="509"/>
      <c r="G10" s="509"/>
      <c r="H10" s="509"/>
      <c r="I10" s="509"/>
    </row>
    <row r="11" spans="1:11">
      <c r="C11" s="510" t="s">
        <v>164</v>
      </c>
      <c r="D11" s="511">
        <f>71268.0353/1000000</f>
        <v>7.1268035300000004E-2</v>
      </c>
      <c r="E11" s="511">
        <f>159489.9547/1000000</f>
        <v>0.15948995469999999</v>
      </c>
      <c r="F11" s="511">
        <f>230757.99/1000000</f>
        <v>0.23075799</v>
      </c>
      <c r="G11" s="511">
        <f>1268545.8608/1000000</f>
        <v>1.2685458608</v>
      </c>
      <c r="H11" s="511">
        <f>2942100.7792/1000000</f>
        <v>2.9421007792</v>
      </c>
      <c r="I11" s="511">
        <f>4210646.64/1000000</f>
        <v>4.2106466399999993</v>
      </c>
    </row>
    <row r="12" spans="1:11">
      <c r="C12" s="510" t="s">
        <v>161</v>
      </c>
      <c r="D12" s="511">
        <f>1017474.98/1000000</f>
        <v>1.01747498</v>
      </c>
      <c r="E12" s="511">
        <f>691133.98/1000000</f>
        <v>0.69113398000000004</v>
      </c>
      <c r="F12" s="511">
        <f>1708608.96/1000000</f>
        <v>1.7086089600000001</v>
      </c>
      <c r="G12" s="511">
        <f>29900308.56/1000000</f>
        <v>29.900308559999999</v>
      </c>
      <c r="H12" s="511">
        <f>5549968.84/1000000</f>
        <v>5.54996884</v>
      </c>
      <c r="I12" s="511">
        <f>35450277.4/1000000</f>
        <v>35.450277399999997</v>
      </c>
    </row>
    <row r="13" spans="1:11">
      <c r="C13" s="510" t="s">
        <v>9</v>
      </c>
      <c r="D13" s="511">
        <f>156582.28/1000000</f>
        <v>0.15658227999999999</v>
      </c>
      <c r="E13" s="863" t="s">
        <v>654</v>
      </c>
      <c r="F13" s="511">
        <f>156582.28/1000000</f>
        <v>0.15658227999999999</v>
      </c>
      <c r="G13" s="511">
        <f>5256463.63/1000000</f>
        <v>5.2564636299999998</v>
      </c>
      <c r="H13" s="511">
        <f>99164.01/1000000</f>
        <v>9.9164009999999997E-2</v>
      </c>
      <c r="I13" s="511">
        <f>5355627.64/1000000</f>
        <v>5.3556276399999998</v>
      </c>
    </row>
    <row r="14" spans="1:11">
      <c r="C14" s="510" t="s">
        <v>11</v>
      </c>
      <c r="D14" s="511">
        <f>49795.04/1000000</f>
        <v>4.9795039999999999E-2</v>
      </c>
      <c r="E14" s="863" t="s">
        <v>654</v>
      </c>
      <c r="F14" s="511">
        <f>49795.04/1000000</f>
        <v>4.9795039999999999E-2</v>
      </c>
      <c r="G14" s="511">
        <f>3765768.07/1000000</f>
        <v>3.76576807</v>
      </c>
      <c r="H14" s="511">
        <f>49125/1000000</f>
        <v>4.9125000000000002E-2</v>
      </c>
      <c r="I14" s="511">
        <f>3814893.07/1000000</f>
        <v>3.8148930699999997</v>
      </c>
    </row>
    <row r="15" spans="1:11" s="594" customFormat="1">
      <c r="B15" s="596" t="s">
        <v>556</v>
      </c>
      <c r="C15" s="596"/>
      <c r="D15" s="597">
        <f>1295120.3353/1000000</f>
        <v>1.2951203352999998</v>
      </c>
      <c r="E15" s="597">
        <f>850623.9347/1000000</f>
        <v>0.85062393469999997</v>
      </c>
      <c r="F15" s="597">
        <f>2145744.27/1000000</f>
        <v>2.1457442700000002</v>
      </c>
      <c r="G15" s="597">
        <f>40191086.1208/1000000</f>
        <v>40.191086120800001</v>
      </c>
      <c r="H15" s="597">
        <f>8640358.6292/1000000</f>
        <v>8.6403586291999996</v>
      </c>
      <c r="I15" s="597">
        <f>48831444.75/1000000</f>
        <v>48.831444750000003</v>
      </c>
    </row>
    <row r="16" spans="1:11">
      <c r="B16" s="508" t="s">
        <v>212</v>
      </c>
      <c r="C16" s="508"/>
      <c r="D16" s="271"/>
      <c r="E16" s="271"/>
      <c r="F16" s="271"/>
      <c r="G16" s="271"/>
      <c r="H16" s="271"/>
      <c r="I16" s="271"/>
    </row>
    <row r="17" spans="1:9">
      <c r="C17" s="510" t="s">
        <v>13</v>
      </c>
      <c r="D17" s="511">
        <f>159722.32/1000000</f>
        <v>0.15972232</v>
      </c>
      <c r="E17" s="863" t="s">
        <v>654</v>
      </c>
      <c r="F17" s="511">
        <f>159722.32/1000000</f>
        <v>0.15972232</v>
      </c>
      <c r="G17" s="511">
        <f>2753490.35/1000000</f>
        <v>2.7534903500000003</v>
      </c>
      <c r="H17" s="863" t="s">
        <v>654</v>
      </c>
      <c r="I17" s="511">
        <f>2753490.35/1000000</f>
        <v>2.7534903500000003</v>
      </c>
    </row>
    <row r="18" spans="1:9">
      <c r="C18" s="510" t="s">
        <v>14</v>
      </c>
      <c r="D18" s="511">
        <f>310286.06/1000000</f>
        <v>0.31028605999999997</v>
      </c>
      <c r="E18" s="863" t="s">
        <v>654</v>
      </c>
      <c r="F18" s="511">
        <f>310286.06/1000000</f>
        <v>0.31028605999999997</v>
      </c>
      <c r="G18" s="511">
        <f>2120472.22/1000000</f>
        <v>2.1204722200000004</v>
      </c>
      <c r="H18" s="863" t="s">
        <v>654</v>
      </c>
      <c r="I18" s="511">
        <f>2120472.22/1000000</f>
        <v>2.1204722200000004</v>
      </c>
    </row>
    <row r="19" spans="1:9" s="594" customFormat="1">
      <c r="B19" s="595" t="s">
        <v>557</v>
      </c>
      <c r="C19" s="596"/>
      <c r="D19" s="597">
        <f>470008.38/1000000</f>
        <v>0.47000838</v>
      </c>
      <c r="E19" s="863" t="s">
        <v>654</v>
      </c>
      <c r="F19" s="597">
        <f>470008.38/1000000</f>
        <v>0.47000838</v>
      </c>
      <c r="G19" s="597">
        <f>4873962.57/1000000</f>
        <v>4.8739625700000007</v>
      </c>
      <c r="H19" s="863" t="s">
        <v>654</v>
      </c>
      <c r="I19" s="597">
        <f>4873962.57/1000000</f>
        <v>4.8739625700000007</v>
      </c>
    </row>
    <row r="20" spans="1:9" ht="15">
      <c r="B20" s="512" t="s">
        <v>588</v>
      </c>
      <c r="C20" s="513"/>
      <c r="D20" s="514">
        <f>1765128.7153/1000000</f>
        <v>1.7651287153000002</v>
      </c>
      <c r="E20" s="514">
        <f>850623.9347/1000000</f>
        <v>0.85062393469999997</v>
      </c>
      <c r="F20" s="514">
        <f>2615752.65/1000000</f>
        <v>2.6157526500000001</v>
      </c>
      <c r="G20" s="514">
        <f>45065048.6908/1000000</f>
        <v>45.065048690800005</v>
      </c>
      <c r="H20" s="514">
        <f>8640358.6292/1000000</f>
        <v>8.6403586291999996</v>
      </c>
      <c r="I20" s="514">
        <f>53705407.32/1000000</f>
        <v>53.705407319999999</v>
      </c>
    </row>
    <row r="21" spans="1:9">
      <c r="A21" s="486" t="s">
        <v>548</v>
      </c>
      <c r="D21" s="271"/>
      <c r="E21" s="271"/>
      <c r="F21" s="271"/>
      <c r="G21" s="271"/>
      <c r="H21" s="271"/>
      <c r="I21" s="271"/>
    </row>
    <row r="22" spans="1:9">
      <c r="A22" s="486" t="s">
        <v>549</v>
      </c>
      <c r="D22" s="503"/>
      <c r="E22" s="503"/>
      <c r="F22" s="503"/>
      <c r="G22" s="503"/>
      <c r="H22" s="503"/>
      <c r="I22" s="503"/>
    </row>
    <row r="23" spans="1:9" ht="15">
      <c r="A23" s="515" t="s">
        <v>550</v>
      </c>
      <c r="D23" s="212"/>
      <c r="E23" s="212"/>
      <c r="F23" s="212"/>
      <c r="G23" s="212"/>
      <c r="H23" s="212"/>
      <c r="I23" s="212"/>
    </row>
    <row r="24" spans="1:9" ht="15">
      <c r="A24" s="503" t="s">
        <v>551</v>
      </c>
      <c r="D24" s="503"/>
      <c r="E24" s="503"/>
      <c r="F24" s="503"/>
      <c r="G24" s="503"/>
      <c r="H24" s="503"/>
      <c r="I24" s="503"/>
    </row>
    <row r="25" spans="1:9">
      <c r="E25" s="503"/>
      <c r="F25" s="503"/>
      <c r="G25" s="516"/>
      <c r="H25" s="516"/>
      <c r="I25" s="516"/>
    </row>
    <row r="26" spans="1:9">
      <c r="A26" s="212" t="s">
        <v>170</v>
      </c>
      <c r="C26" s="261"/>
      <c r="D26" s="516"/>
      <c r="E26" s="517"/>
      <c r="F26" s="503"/>
      <c r="G26" s="503"/>
      <c r="H26" s="503"/>
      <c r="I26" s="503"/>
    </row>
    <row r="27" spans="1:9">
      <c r="C27" s="517"/>
      <c r="D27" s="518"/>
      <c r="E27" s="519"/>
      <c r="F27" s="518"/>
      <c r="G27" s="518"/>
      <c r="H27" s="518"/>
      <c r="I27" s="516"/>
    </row>
    <row r="28" spans="1:9">
      <c r="C28" s="503"/>
      <c r="D28" s="503"/>
      <c r="E28" s="264"/>
      <c r="F28" s="516"/>
      <c r="G28" s="503"/>
      <c r="H28" s="503"/>
      <c r="I28" s="503"/>
    </row>
    <row r="29" spans="1:9">
      <c r="C29" s="503"/>
      <c r="D29" s="503"/>
      <c r="E29" s="264"/>
      <c r="F29" s="503"/>
      <c r="G29" s="503"/>
      <c r="H29" s="503"/>
      <c r="I29" s="503"/>
    </row>
    <row r="30" spans="1:9">
      <c r="C30" s="503"/>
      <c r="D30" s="503"/>
      <c r="E30" s="264"/>
      <c r="F30" s="503"/>
      <c r="G30" s="503"/>
      <c r="H30" s="503"/>
      <c r="I30" s="503"/>
    </row>
    <row r="31" spans="1:9">
      <c r="A31" s="536" t="s">
        <v>656</v>
      </c>
      <c r="B31" s="536"/>
      <c r="C31" s="536"/>
      <c r="D31" s="504"/>
      <c r="E31" s="504"/>
      <c r="F31" s="504"/>
      <c r="G31" s="504"/>
      <c r="H31" s="504"/>
      <c r="I31" s="505"/>
    </row>
    <row r="32" spans="1:9" ht="13.5" customHeight="1">
      <c r="A32" s="536"/>
      <c r="B32" s="536"/>
      <c r="C32" s="536"/>
      <c r="D32" s="536"/>
      <c r="E32" s="536"/>
      <c r="F32" s="536"/>
      <c r="G32" s="536"/>
      <c r="H32" s="536"/>
      <c r="I32" s="536"/>
    </row>
    <row r="33" spans="1:9" ht="13.5" customHeight="1">
      <c r="A33" s="536"/>
      <c r="B33" s="536"/>
      <c r="C33" s="536"/>
      <c r="D33" s="536"/>
      <c r="E33" s="536"/>
      <c r="F33" s="536"/>
      <c r="G33" s="536"/>
      <c r="H33" s="536"/>
      <c r="I33" s="536"/>
    </row>
    <row r="34" spans="1:9">
      <c r="A34" s="508"/>
      <c r="B34" s="508"/>
      <c r="C34" s="508"/>
      <c r="D34" s="271"/>
      <c r="E34" s="271"/>
      <c r="F34" s="271"/>
      <c r="G34" s="271"/>
      <c r="H34" s="271"/>
      <c r="I34" s="271"/>
    </row>
    <row r="35" spans="1:9">
      <c r="A35" s="520"/>
      <c r="B35" s="520"/>
      <c r="C35" s="510"/>
      <c r="D35" s="511"/>
      <c r="E35" s="511"/>
      <c r="F35" s="511"/>
      <c r="G35" s="511"/>
      <c r="H35" s="511"/>
      <c r="I35" s="511"/>
    </row>
    <row r="36" spans="1:9">
      <c r="A36" s="520"/>
      <c r="B36" s="520"/>
      <c r="C36" s="510"/>
      <c r="D36" s="511"/>
      <c r="E36" s="511"/>
      <c r="F36" s="511"/>
      <c r="G36" s="511"/>
      <c r="H36" s="511"/>
      <c r="I36" s="511"/>
    </row>
    <row r="37" spans="1:9">
      <c r="A37" s="520"/>
      <c r="B37" s="520"/>
      <c r="C37" s="510"/>
      <c r="D37" s="511"/>
      <c r="E37" s="511"/>
      <c r="F37" s="511"/>
      <c r="G37" s="511"/>
      <c r="H37" s="511"/>
      <c r="I37" s="511"/>
    </row>
    <row r="38" spans="1:9">
      <c r="A38" s="520"/>
      <c r="B38" s="520"/>
      <c r="C38" s="510"/>
      <c r="D38" s="511"/>
      <c r="E38" s="511"/>
      <c r="F38" s="511"/>
      <c r="G38" s="511"/>
      <c r="H38" s="511"/>
      <c r="I38" s="511"/>
    </row>
    <row r="39" spans="1:9">
      <c r="A39" s="520"/>
      <c r="B39" s="508"/>
      <c r="C39" s="508"/>
      <c r="D39" s="271"/>
      <c r="E39" s="271"/>
      <c r="F39" s="271"/>
      <c r="G39" s="271"/>
      <c r="H39" s="271"/>
      <c r="I39" s="271"/>
    </row>
    <row r="40" spans="1:9">
      <c r="A40" s="508"/>
      <c r="B40" s="508"/>
      <c r="C40" s="508"/>
      <c r="D40" s="271"/>
      <c r="E40" s="271"/>
      <c r="F40" s="271"/>
      <c r="G40" s="271"/>
      <c r="H40" s="271"/>
      <c r="I40" s="271"/>
    </row>
    <row r="41" spans="1:9">
      <c r="A41" s="520"/>
      <c r="B41" s="520"/>
      <c r="C41" s="510"/>
      <c r="D41" s="511"/>
      <c r="E41" s="511"/>
      <c r="F41" s="511"/>
      <c r="G41" s="511"/>
      <c r="H41" s="511"/>
      <c r="I41" s="511"/>
    </row>
    <row r="42" spans="1:9">
      <c r="A42" s="520"/>
      <c r="B42" s="520"/>
      <c r="C42" s="510"/>
      <c r="D42" s="511"/>
      <c r="E42" s="511"/>
      <c r="F42" s="511"/>
      <c r="G42" s="511"/>
      <c r="H42" s="511"/>
      <c r="I42" s="511"/>
    </row>
    <row r="43" spans="1:9">
      <c r="A43" s="520"/>
      <c r="B43" s="508"/>
      <c r="C43" s="508"/>
      <c r="D43" s="271"/>
      <c r="E43" s="271"/>
      <c r="F43" s="271"/>
      <c r="G43" s="271"/>
      <c r="H43" s="271"/>
      <c r="I43" s="271"/>
    </row>
    <row r="44" spans="1:9">
      <c r="A44" s="512"/>
      <c r="B44" s="512"/>
      <c r="C44" s="521"/>
      <c r="D44" s="271"/>
      <c r="E44" s="271"/>
      <c r="F44" s="271"/>
      <c r="G44" s="271"/>
      <c r="H44" s="271"/>
      <c r="I44" s="271"/>
    </row>
    <row r="45" spans="1:9">
      <c r="C45" s="522"/>
    </row>
    <row r="47" spans="1:9">
      <c r="C47" s="491"/>
    </row>
  </sheetData>
  <mergeCells count="8">
    <mergeCell ref="A31:C33"/>
    <mergeCell ref="A8:C9"/>
    <mergeCell ref="I32:I33"/>
    <mergeCell ref="D32:D33"/>
    <mergeCell ref="E32:E33"/>
    <mergeCell ref="F32:F33"/>
    <mergeCell ref="G32:G33"/>
    <mergeCell ref="H32:H33"/>
  </mergeCells>
  <hyperlinks>
    <hyperlink ref="C1" location="Indice!A1" display="Cuadro 1.1 Gasto ambiental de Gobierno Local 1/por clasificación CAPA 2/y CGRN 3/"/>
  </hyperlinks>
  <pageMargins left="0.7" right="0.7" top="0.75" bottom="0.75" header="0.3" footer="0.3"/>
  <pageSetup scale="81" orientation="portrait" r:id="rId1"/>
  <drawing r:id="rId2"/>
</worksheet>
</file>

<file path=xl/worksheets/sheet40.xml><?xml version="1.0" encoding="utf-8"?>
<worksheet xmlns="http://schemas.openxmlformats.org/spreadsheetml/2006/main" xmlns:r="http://schemas.openxmlformats.org/officeDocument/2006/relationships">
  <sheetPr>
    <tabColor theme="3" tint="0.39997558519241921"/>
    <pageSetUpPr fitToPage="1"/>
  </sheetPr>
  <dimension ref="A1:H23"/>
  <sheetViews>
    <sheetView showGridLines="0" topLeftCell="A2" workbookViewId="0">
      <selection activeCell="A2" sqref="A2"/>
    </sheetView>
  </sheetViews>
  <sheetFormatPr baseColWidth="10" defaultRowHeight="12.75"/>
  <cols>
    <col min="1" max="1" width="1.33203125" customWidth="1"/>
    <col min="2" max="2" width="1.1640625" customWidth="1"/>
    <col min="3" max="3" width="39" customWidth="1"/>
    <col min="4" max="4" width="14" customWidth="1"/>
    <col min="5" max="6" width="14.6640625" customWidth="1"/>
    <col min="7" max="7" width="14.33203125" customWidth="1"/>
  </cols>
  <sheetData>
    <row r="1" spans="1:8" ht="12" hidden="1" customHeight="1">
      <c r="A1" s="44"/>
      <c r="B1" s="44"/>
      <c r="C1" s="7" t="s">
        <v>329</v>
      </c>
      <c r="D1" s="44"/>
      <c r="E1" s="44"/>
      <c r="F1" s="44"/>
      <c r="G1" s="44"/>
      <c r="H1" s="44"/>
    </row>
    <row r="2" spans="1:8">
      <c r="A2" s="19" t="s">
        <v>279</v>
      </c>
      <c r="B2" s="19"/>
      <c r="C2" s="105"/>
      <c r="D2" s="19"/>
      <c r="E2" s="19"/>
      <c r="F2" s="19"/>
      <c r="G2" s="19"/>
      <c r="H2" s="44"/>
    </row>
    <row r="3" spans="1:8" ht="24.75" customHeight="1">
      <c r="A3" s="545" t="s">
        <v>284</v>
      </c>
      <c r="B3" s="545"/>
      <c r="C3" s="545"/>
      <c r="D3" s="545"/>
      <c r="E3" s="545"/>
      <c r="F3" s="545"/>
      <c r="G3" s="545"/>
      <c r="H3" s="44"/>
    </row>
    <row r="4" spans="1:8">
      <c r="A4" s="44"/>
      <c r="B4" s="44"/>
      <c r="C4" s="113" t="s">
        <v>18</v>
      </c>
      <c r="D4" s="18"/>
      <c r="E4" s="18"/>
      <c r="F4" s="18"/>
      <c r="G4" s="18"/>
      <c r="H4" s="44"/>
    </row>
    <row r="5" spans="1:8">
      <c r="A5" s="90" t="s">
        <v>246</v>
      </c>
      <c r="B5" s="18"/>
      <c r="C5" s="113"/>
      <c r="D5" s="18"/>
      <c r="E5" s="18"/>
      <c r="F5" s="18"/>
      <c r="G5" s="18"/>
      <c r="H5" s="44"/>
    </row>
    <row r="6" spans="1:8" s="529" customFormat="1">
      <c r="A6" s="794" t="s">
        <v>28</v>
      </c>
      <c r="B6" s="794"/>
      <c r="C6" s="794"/>
      <c r="D6" s="794"/>
      <c r="E6" s="794"/>
      <c r="F6" s="794"/>
      <c r="G6" s="794"/>
      <c r="H6" s="44"/>
    </row>
    <row r="7" spans="1:8">
      <c r="H7" s="44"/>
    </row>
    <row r="8" spans="1:8">
      <c r="A8" s="783" t="s">
        <v>1</v>
      </c>
      <c r="B8" s="783"/>
      <c r="C8" s="783"/>
      <c r="D8" s="793">
        <v>2005</v>
      </c>
      <c r="E8" s="793"/>
      <c r="F8" s="793">
        <v>2006</v>
      </c>
      <c r="G8" s="793"/>
      <c r="H8" s="44"/>
    </row>
    <row r="9" spans="1:8">
      <c r="A9" s="792"/>
      <c r="B9" s="792"/>
      <c r="C9" s="792"/>
      <c r="D9" s="685" t="s">
        <v>41</v>
      </c>
      <c r="E9" s="685" t="s">
        <v>0</v>
      </c>
      <c r="F9" s="685" t="s">
        <v>41</v>
      </c>
      <c r="G9" s="685" t="s">
        <v>0</v>
      </c>
      <c r="H9" s="44"/>
    </row>
    <row r="10" spans="1:8">
      <c r="A10" s="120" t="s">
        <v>282</v>
      </c>
      <c r="B10" s="121"/>
      <c r="C10" s="120"/>
      <c r="D10" s="403">
        <v>0.37520703086699891</v>
      </c>
      <c r="E10" s="403">
        <v>0.24141164252771671</v>
      </c>
      <c r="F10" s="403">
        <v>0.39156334059823228</v>
      </c>
      <c r="G10" s="403">
        <v>0.28410449489355949</v>
      </c>
      <c r="H10" s="44"/>
    </row>
    <row r="11" spans="1:8">
      <c r="A11" s="97"/>
      <c r="B11" s="97"/>
      <c r="C11" s="399" t="s">
        <v>164</v>
      </c>
      <c r="D11" s="400">
        <v>0.10776368639446891</v>
      </c>
      <c r="E11" s="400">
        <v>0.16024609387360125</v>
      </c>
      <c r="F11" s="400">
        <v>0.18562098605606461</v>
      </c>
      <c r="G11" s="400">
        <v>0.27040291074593598</v>
      </c>
      <c r="H11" s="44"/>
    </row>
    <row r="12" spans="1:8">
      <c r="A12" s="97"/>
      <c r="B12" s="97"/>
      <c r="C12" s="399" t="s">
        <v>161</v>
      </c>
      <c r="D12" s="400">
        <v>0.2223445685139625</v>
      </c>
      <c r="E12" s="400">
        <v>8.1165548654115474E-2</v>
      </c>
      <c r="F12" s="400">
        <v>0.15820498624320087</v>
      </c>
      <c r="G12" s="400">
        <v>1.33450200183462E-2</v>
      </c>
      <c r="H12" s="44"/>
    </row>
    <row r="13" spans="1:8">
      <c r="A13" s="97"/>
      <c r="B13" s="97"/>
      <c r="C13" s="109" t="s">
        <v>9</v>
      </c>
      <c r="D13" s="400">
        <v>3.4217273316669135E-2</v>
      </c>
      <c r="E13" s="400">
        <v>0</v>
      </c>
      <c r="F13" s="400">
        <v>2.7812380417522882E-2</v>
      </c>
      <c r="G13" s="400">
        <v>2.3844200511754279E-4</v>
      </c>
      <c r="H13" s="44"/>
    </row>
    <row r="14" spans="1:8">
      <c r="A14" s="97"/>
      <c r="B14" s="97"/>
      <c r="C14" s="109" t="s">
        <v>11</v>
      </c>
      <c r="D14" s="400">
        <v>1.0881502641898381E-2</v>
      </c>
      <c r="E14" s="400">
        <v>0</v>
      </c>
      <c r="F14" s="400">
        <v>1.9924987881443965E-2</v>
      </c>
      <c r="G14" s="400">
        <v>1.1812212415975602E-4</v>
      </c>
      <c r="H14" s="44"/>
    </row>
    <row r="15" spans="1:8">
      <c r="A15" s="29" t="s">
        <v>283</v>
      </c>
      <c r="B15" s="97"/>
      <c r="C15" s="29"/>
      <c r="D15" s="401">
        <v>0.62479296913300109</v>
      </c>
      <c r="E15" s="401">
        <v>0.75858835747228326</v>
      </c>
      <c r="F15" s="401">
        <v>0.60843665940176761</v>
      </c>
      <c r="G15" s="401">
        <v>0.71589550510644051</v>
      </c>
      <c r="H15" s="44"/>
    </row>
    <row r="16" spans="1:8">
      <c r="A16" s="97"/>
      <c r="B16" s="97"/>
      <c r="C16" s="109" t="s">
        <v>13</v>
      </c>
      <c r="D16" s="404">
        <v>0.55698744911264886</v>
      </c>
      <c r="E16" s="404">
        <v>0.75858835747228326</v>
      </c>
      <c r="F16" s="404">
        <v>0.59721706687746268</v>
      </c>
      <c r="G16" s="404">
        <v>0.71589550510644051</v>
      </c>
      <c r="H16" s="44"/>
    </row>
    <row r="17" spans="1:8">
      <c r="A17" s="97"/>
      <c r="B17" s="97"/>
      <c r="C17" s="109" t="s">
        <v>14</v>
      </c>
      <c r="D17" s="400">
        <v>6.7805520020352228E-2</v>
      </c>
      <c r="E17" s="400">
        <v>0</v>
      </c>
      <c r="F17" s="400">
        <v>1.1219592524305032E-2</v>
      </c>
      <c r="G17" s="400">
        <v>0</v>
      </c>
      <c r="H17" s="44"/>
    </row>
    <row r="18" spans="1:8">
      <c r="A18" s="99"/>
      <c r="B18" s="119" t="s">
        <v>572</v>
      </c>
      <c r="C18" s="119"/>
      <c r="D18" s="405">
        <v>1</v>
      </c>
      <c r="E18" s="405">
        <v>1</v>
      </c>
      <c r="F18" s="405">
        <v>1</v>
      </c>
      <c r="G18" s="405">
        <v>1</v>
      </c>
      <c r="H18" s="44"/>
    </row>
    <row r="19" spans="1:8" ht="12.75" customHeight="1">
      <c r="A19" s="270" t="s">
        <v>240</v>
      </c>
      <c r="B19" s="270"/>
      <c r="C19" s="270"/>
      <c r="D19" s="270"/>
      <c r="E19" s="270"/>
      <c r="F19" s="270"/>
      <c r="G19" s="270"/>
    </row>
    <row r="20" spans="1:8" ht="24" customHeight="1">
      <c r="A20" s="557" t="s">
        <v>214</v>
      </c>
      <c r="B20" s="557"/>
      <c r="C20" s="557"/>
      <c r="D20" s="557"/>
      <c r="E20" s="557"/>
      <c r="F20" s="557"/>
      <c r="G20" s="557"/>
    </row>
    <row r="21" spans="1:8" ht="9.75" customHeight="1"/>
    <row r="22" spans="1:8" ht="27.75" customHeight="1">
      <c r="A22" s="558" t="s">
        <v>170</v>
      </c>
      <c r="B22" s="558"/>
      <c r="C22" s="558"/>
      <c r="D22" s="558"/>
      <c r="E22" s="558"/>
      <c r="F22" s="558"/>
      <c r="G22" s="558"/>
    </row>
    <row r="23" spans="1:8">
      <c r="C23" s="406"/>
    </row>
  </sheetData>
  <mergeCells count="7">
    <mergeCell ref="A8:C9"/>
    <mergeCell ref="A3:G3"/>
    <mergeCell ref="A6:G6"/>
    <mergeCell ref="A20:G20"/>
    <mergeCell ref="A22:G22"/>
    <mergeCell ref="D8:E8"/>
    <mergeCell ref="F8:G8"/>
  </mergeCells>
  <hyperlinks>
    <hyperlink ref="C1" location="Indice!A1" display="Cuadro 4.7 Estructura porcentual de gasto ambiental de Gobierno Local"/>
  </hyperlinks>
  <pageMargins left="0.7" right="0.7" top="0.75" bottom="0.75" header="0.3" footer="0.3"/>
  <pageSetup orientation="portrait" r:id="rId1"/>
</worksheet>
</file>

<file path=xl/worksheets/sheet41.xml><?xml version="1.0" encoding="utf-8"?>
<worksheet xmlns="http://schemas.openxmlformats.org/spreadsheetml/2006/main" xmlns:r="http://schemas.openxmlformats.org/officeDocument/2006/relationships">
  <sheetPr>
    <tabColor theme="3" tint="0.39997558519241921"/>
    <pageSetUpPr fitToPage="1"/>
  </sheetPr>
  <dimension ref="A1:E43"/>
  <sheetViews>
    <sheetView topLeftCell="A2" workbookViewId="0">
      <selection activeCell="A2" sqref="A2"/>
    </sheetView>
  </sheetViews>
  <sheetFormatPr baseColWidth="10" defaultRowHeight="12.75"/>
  <cols>
    <col min="1" max="2" width="1.1640625" style="44" customWidth="1"/>
    <col min="3" max="3" width="53.83203125" style="44" customWidth="1"/>
    <col min="4" max="4" width="15.1640625" style="44" customWidth="1"/>
    <col min="5" max="5" width="16.83203125" style="44" customWidth="1"/>
    <col min="6" max="16384" width="12" style="44"/>
  </cols>
  <sheetData>
    <row r="1" spans="1:5" hidden="1">
      <c r="C1" s="8" t="s">
        <v>330</v>
      </c>
    </row>
    <row r="2" spans="1:5">
      <c r="A2" s="19" t="s">
        <v>280</v>
      </c>
      <c r="B2" s="19"/>
      <c r="C2" s="105"/>
      <c r="D2" s="19"/>
      <c r="E2" s="19"/>
    </row>
    <row r="3" spans="1:5" ht="27.75" customHeight="1">
      <c r="A3" s="545" t="s">
        <v>285</v>
      </c>
      <c r="B3" s="545"/>
      <c r="C3" s="545"/>
      <c r="D3" s="545"/>
      <c r="E3" s="545"/>
    </row>
    <row r="4" spans="1:5">
      <c r="A4" s="90" t="s">
        <v>18</v>
      </c>
      <c r="B4" s="18"/>
      <c r="C4" s="90"/>
      <c r="D4" s="18"/>
      <c r="E4" s="18"/>
    </row>
    <row r="5" spans="1:5">
      <c r="A5" s="90" t="s">
        <v>246</v>
      </c>
      <c r="B5" s="18"/>
      <c r="C5" s="90"/>
      <c r="D5" s="18"/>
      <c r="E5" s="18"/>
    </row>
    <row r="6" spans="1:5">
      <c r="A6" s="297" t="s">
        <v>29</v>
      </c>
      <c r="B6" s="18"/>
      <c r="C6" s="90"/>
      <c r="D6" s="18"/>
      <c r="E6" s="18"/>
    </row>
    <row r="7" spans="1:5">
      <c r="B7" s="18"/>
      <c r="C7" s="90"/>
      <c r="D7" s="18"/>
      <c r="E7" s="18"/>
    </row>
    <row r="8" spans="1:5">
      <c r="A8" s="790" t="s">
        <v>19</v>
      </c>
      <c r="B8" s="609"/>
      <c r="C8" s="790"/>
      <c r="D8" s="791">
        <v>2005</v>
      </c>
      <c r="E8" s="791">
        <v>2006</v>
      </c>
    </row>
    <row r="9" spans="1:5" s="635" customFormat="1">
      <c r="A9" s="767"/>
      <c r="B9" s="766" t="s">
        <v>556</v>
      </c>
      <c r="C9" s="767"/>
      <c r="D9" s="769">
        <v>6.9468209728951345E-3</v>
      </c>
      <c r="E9" s="769">
        <v>0.13395497454055821</v>
      </c>
    </row>
    <row r="10" spans="1:5">
      <c r="A10" s="107" t="s">
        <v>211</v>
      </c>
      <c r="C10" s="107"/>
      <c r="D10" s="92"/>
      <c r="E10" s="92"/>
    </row>
    <row r="11" spans="1:5" ht="13.5" customHeight="1">
      <c r="C11" s="93" t="s">
        <v>594</v>
      </c>
      <c r="D11" s="94">
        <v>7.4707618564216229E-4</v>
      </c>
      <c r="E11" s="94">
        <v>1.1550693745560068E-2</v>
      </c>
    </row>
    <row r="12" spans="1:5">
      <c r="C12" s="93" t="s">
        <v>20</v>
      </c>
      <c r="D12" s="94">
        <v>5.5316007241648342E-3</v>
      </c>
      <c r="E12" s="94">
        <v>9.7247604097823168E-2</v>
      </c>
    </row>
    <row r="13" spans="1:5" ht="11.25" customHeight="1">
      <c r="C13" s="93" t="s">
        <v>21</v>
      </c>
      <c r="D13" s="94">
        <v>5.0693322680420746E-4</v>
      </c>
      <c r="E13" s="94">
        <v>1.4691618645276919E-2</v>
      </c>
    </row>
    <row r="14" spans="1:5" ht="14.25" customHeight="1">
      <c r="B14" s="96"/>
      <c r="C14" s="93" t="s">
        <v>22</v>
      </c>
      <c r="D14" s="94">
        <v>1.612108362839306E-4</v>
      </c>
      <c r="E14" s="94">
        <v>1.0465058051898042E-2</v>
      </c>
    </row>
    <row r="15" spans="1:5" s="635" customFormat="1" ht="15.75" customHeight="1">
      <c r="A15" s="638"/>
      <c r="B15" s="759" t="s">
        <v>557</v>
      </c>
      <c r="C15" s="760" t="s">
        <v>573</v>
      </c>
      <c r="D15" s="770">
        <v>1.5216464129812011E-3</v>
      </c>
      <c r="E15" s="770">
        <v>1.3370309547844857E-2</v>
      </c>
    </row>
    <row r="16" spans="1:5">
      <c r="A16" s="91" t="s">
        <v>212</v>
      </c>
      <c r="B16" s="97"/>
      <c r="C16" s="91"/>
      <c r="D16" s="108"/>
      <c r="E16" s="108"/>
    </row>
    <row r="17" spans="1:5">
      <c r="A17" s="97"/>
      <c r="B17" s="97"/>
      <c r="C17" s="109" t="s">
        <v>13</v>
      </c>
      <c r="D17" s="110">
        <v>5.1709906810818048E-4</v>
      </c>
      <c r="E17" s="110">
        <v>7.5534060403142731E-3</v>
      </c>
    </row>
    <row r="18" spans="1:5">
      <c r="A18" s="97"/>
      <c r="B18" s="97"/>
      <c r="C18" s="109" t="s">
        <v>14</v>
      </c>
      <c r="D18" s="110">
        <v>1.0045473448730207E-3</v>
      </c>
      <c r="E18" s="110">
        <v>5.8169035075305827E-3</v>
      </c>
    </row>
    <row r="19" spans="1:5">
      <c r="A19" s="98" t="s">
        <v>574</v>
      </c>
      <c r="B19" s="99"/>
      <c r="C19" s="100"/>
      <c r="D19" s="106">
        <f>+D9+D15</f>
        <v>8.4684673858763347E-3</v>
      </c>
      <c r="E19" s="106">
        <f>+E9+E15</f>
        <v>0.14732528408840306</v>
      </c>
    </row>
    <row r="20" spans="1:5" ht="12.75" customHeight="1">
      <c r="A20" s="270" t="s">
        <v>240</v>
      </c>
      <c r="C20" s="270"/>
      <c r="D20" s="270"/>
      <c r="E20" s="270"/>
    </row>
    <row r="21" spans="1:5" ht="24" customHeight="1">
      <c r="A21" s="557" t="s">
        <v>214</v>
      </c>
      <c r="B21" s="557"/>
      <c r="C21" s="557"/>
      <c r="D21" s="557"/>
      <c r="E21" s="557"/>
    </row>
    <row r="22" spans="1:5" ht="9" customHeight="1"/>
    <row r="23" spans="1:5" ht="28.5" customHeight="1">
      <c r="A23" s="558" t="s">
        <v>170</v>
      </c>
      <c r="B23" s="558"/>
      <c r="C23" s="558"/>
      <c r="D23" s="558"/>
      <c r="E23" s="558"/>
    </row>
    <row r="41" spans="3:5">
      <c r="C41" s="3"/>
      <c r="D41" s="2"/>
      <c r="E41" s="2"/>
    </row>
    <row r="42" spans="3:5">
      <c r="C42" s="3"/>
      <c r="D42" s="4"/>
      <c r="E42" s="4"/>
    </row>
    <row r="43" spans="3:5">
      <c r="C43" s="3"/>
      <c r="D43" s="4"/>
      <c r="E43" s="4"/>
    </row>
  </sheetData>
  <mergeCells count="3">
    <mergeCell ref="A3:E3"/>
    <mergeCell ref="A21:E21"/>
    <mergeCell ref="A23:E23"/>
  </mergeCells>
  <hyperlinks>
    <hyperlink ref="C1" location="Indice!A1" display="Cuadro 4.8 Gasto ambiental del Gobierno local como porcentaje del presupuesto general  de egresos "/>
  </hyperlinks>
  <pageMargins left="0.7" right="0.7" top="0.75" bottom="0.75" header="0.3" footer="0.3"/>
  <pageSetup orientation="portrait" r:id="rId1"/>
</worksheet>
</file>

<file path=xl/worksheets/sheet42.xml><?xml version="1.0" encoding="utf-8"?>
<worksheet xmlns="http://schemas.openxmlformats.org/spreadsheetml/2006/main" xmlns:r="http://schemas.openxmlformats.org/officeDocument/2006/relationships">
  <sheetPr>
    <tabColor theme="3" tint="0.39997558519241921"/>
    <pageSetUpPr fitToPage="1"/>
  </sheetPr>
  <dimension ref="A1:J23"/>
  <sheetViews>
    <sheetView showGridLines="0" topLeftCell="A2" workbookViewId="0">
      <selection activeCell="A2" sqref="A2"/>
    </sheetView>
  </sheetViews>
  <sheetFormatPr baseColWidth="10" defaultRowHeight="12.75"/>
  <cols>
    <col min="1" max="1" width="1.33203125" customWidth="1"/>
    <col min="2" max="2" width="1.83203125" customWidth="1"/>
    <col min="3" max="3" width="53" customWidth="1"/>
    <col min="4" max="4" width="14.83203125" customWidth="1"/>
    <col min="5" max="5" width="15.1640625" customWidth="1"/>
  </cols>
  <sheetData>
    <row r="1" spans="1:10" hidden="1">
      <c r="A1" s="44"/>
      <c r="B1" s="44"/>
      <c r="C1" s="8" t="s">
        <v>331</v>
      </c>
      <c r="D1" s="44"/>
      <c r="E1" s="44"/>
      <c r="F1" s="44"/>
      <c r="G1" s="44"/>
      <c r="H1" s="44"/>
      <c r="I1" s="44"/>
      <c r="J1" s="44"/>
    </row>
    <row r="2" spans="1:10">
      <c r="A2" s="19" t="s">
        <v>287</v>
      </c>
      <c r="B2" s="19"/>
      <c r="C2" s="105"/>
      <c r="D2" s="19"/>
      <c r="E2" s="19"/>
      <c r="F2" s="44"/>
      <c r="G2" s="44"/>
      <c r="H2" s="44"/>
      <c r="I2" s="44"/>
      <c r="J2" s="44"/>
    </row>
    <row r="3" spans="1:10" ht="29.25" customHeight="1">
      <c r="A3" s="545" t="s">
        <v>288</v>
      </c>
      <c r="B3" s="545"/>
      <c r="C3" s="545"/>
      <c r="D3" s="545"/>
      <c r="E3" s="545"/>
      <c r="F3" s="44"/>
      <c r="G3" s="44"/>
      <c r="H3" s="44"/>
      <c r="I3" s="44"/>
      <c r="J3" s="44"/>
    </row>
    <row r="4" spans="1:10">
      <c r="A4" s="90" t="s">
        <v>18</v>
      </c>
      <c r="B4" s="18"/>
      <c r="C4" s="90"/>
      <c r="D4" s="18"/>
      <c r="E4" s="18"/>
      <c r="F4" s="44"/>
      <c r="G4" s="44"/>
      <c r="H4" s="44"/>
      <c r="I4" s="44"/>
      <c r="J4" s="44"/>
    </row>
    <row r="5" spans="1:10">
      <c r="A5" s="90" t="s">
        <v>246</v>
      </c>
      <c r="B5" s="18"/>
      <c r="C5" s="90"/>
      <c r="D5" s="18"/>
      <c r="E5" s="18"/>
      <c r="F5" s="44"/>
      <c r="G5" s="44"/>
      <c r="H5" s="44"/>
      <c r="I5" s="44"/>
      <c r="J5" s="44"/>
    </row>
    <row r="6" spans="1:10" s="529" customFormat="1">
      <c r="A6" s="297" t="s">
        <v>30</v>
      </c>
      <c r="B6" s="18"/>
      <c r="C6" s="90"/>
      <c r="D6" s="18"/>
      <c r="E6" s="18"/>
      <c r="F6" s="44"/>
      <c r="G6" s="44"/>
      <c r="H6" s="44"/>
      <c r="I6" s="44"/>
      <c r="J6" s="44"/>
    </row>
    <row r="7" spans="1:10">
      <c r="B7" s="18"/>
      <c r="C7" s="90"/>
      <c r="D7" s="18"/>
      <c r="E7" s="18"/>
      <c r="F7" s="44"/>
      <c r="G7" s="44"/>
      <c r="H7" s="44"/>
      <c r="I7" s="44"/>
      <c r="J7" s="44"/>
    </row>
    <row r="8" spans="1:10">
      <c r="A8" s="790" t="s">
        <v>19</v>
      </c>
      <c r="B8" s="609"/>
      <c r="C8" s="790"/>
      <c r="D8" s="791">
        <v>2005</v>
      </c>
      <c r="E8" s="791">
        <v>2006</v>
      </c>
      <c r="F8" s="44"/>
      <c r="G8" s="44"/>
      <c r="H8" s="44"/>
      <c r="I8" s="44"/>
      <c r="J8" s="44"/>
    </row>
    <row r="9" spans="1:10" s="703" customFormat="1">
      <c r="A9" s="765"/>
      <c r="B9" s="766" t="s">
        <v>556</v>
      </c>
      <c r="C9" s="767"/>
      <c r="D9" s="768">
        <v>1.2213874619665397E-2</v>
      </c>
      <c r="E9" s="769">
        <v>0.52713184124867485</v>
      </c>
      <c r="F9" s="635"/>
      <c r="G9" s="635"/>
      <c r="H9" s="635"/>
      <c r="I9" s="635"/>
      <c r="J9" s="635"/>
    </row>
    <row r="10" spans="1:10">
      <c r="A10" s="107" t="s">
        <v>211</v>
      </c>
      <c r="B10" s="44"/>
      <c r="C10" s="107"/>
      <c r="D10" s="111"/>
      <c r="E10" s="92"/>
      <c r="F10" s="44"/>
      <c r="G10" s="44"/>
      <c r="H10" s="44"/>
      <c r="I10" s="44"/>
      <c r="J10" s="44"/>
    </row>
    <row r="11" spans="1:10" ht="13.5" customHeight="1">
      <c r="A11" s="44"/>
      <c r="B11" s="44"/>
      <c r="C11" s="93" t="s">
        <v>594</v>
      </c>
      <c r="D11" s="94">
        <v>6.0141298324124237E-3</v>
      </c>
      <c r="E11" s="94">
        <v>0.40472756045367675</v>
      </c>
      <c r="F11" s="44"/>
      <c r="G11" s="44"/>
      <c r="H11" s="44"/>
      <c r="I11" s="44"/>
      <c r="J11" s="44"/>
    </row>
    <row r="12" spans="1:10" ht="13.5" customHeight="1">
      <c r="A12" s="44"/>
      <c r="B12" s="44"/>
      <c r="C12" s="93" t="s">
        <v>20</v>
      </c>
      <c r="D12" s="94">
        <v>5.5316007241648351E-3</v>
      </c>
      <c r="E12" s="94">
        <v>9.7247604097823168E-2</v>
      </c>
      <c r="F12" s="44"/>
      <c r="G12" s="44"/>
      <c r="H12" s="44"/>
      <c r="I12" s="44"/>
      <c r="J12" s="44"/>
    </row>
    <row r="13" spans="1:10" ht="12.75" customHeight="1">
      <c r="A13" s="44"/>
      <c r="B13" s="44"/>
      <c r="C13" s="93" t="s">
        <v>21</v>
      </c>
      <c r="D13" s="94">
        <v>5.0693322680420746E-4</v>
      </c>
      <c r="E13" s="94">
        <v>1.4691618645276915E-2</v>
      </c>
      <c r="F13" s="44"/>
      <c r="G13" s="44"/>
      <c r="H13" s="44"/>
      <c r="I13" s="44"/>
      <c r="J13" s="44"/>
    </row>
    <row r="14" spans="1:10" ht="14.25" customHeight="1">
      <c r="A14" s="44"/>
      <c r="B14" s="44"/>
      <c r="C14" s="93" t="s">
        <v>22</v>
      </c>
      <c r="D14" s="94">
        <v>1.612108362839306E-4</v>
      </c>
      <c r="E14" s="94">
        <v>1.0465058051898042E-2</v>
      </c>
      <c r="F14" s="44"/>
      <c r="G14" s="44"/>
      <c r="H14" s="44"/>
      <c r="I14" s="44"/>
      <c r="J14" s="44"/>
    </row>
    <row r="15" spans="1:10" s="703" customFormat="1">
      <c r="A15" s="638"/>
      <c r="B15" s="759" t="s">
        <v>557</v>
      </c>
      <c r="C15" s="760"/>
      <c r="D15" s="770">
        <v>3.0168832908907178E-2</v>
      </c>
      <c r="E15" s="770">
        <v>1.1321829467539088</v>
      </c>
      <c r="F15" s="635"/>
      <c r="G15" s="635"/>
      <c r="H15" s="635"/>
      <c r="I15" s="635"/>
      <c r="J15" s="635"/>
    </row>
    <row r="16" spans="1:10">
      <c r="A16" s="91" t="s">
        <v>212</v>
      </c>
      <c r="B16" s="97"/>
      <c r="C16" s="91"/>
      <c r="D16" s="108"/>
      <c r="E16" s="108"/>
      <c r="F16" s="44"/>
      <c r="G16" s="44"/>
      <c r="H16" s="44"/>
      <c r="I16" s="44"/>
      <c r="J16" s="44"/>
    </row>
    <row r="17" spans="1:10">
      <c r="A17" s="97"/>
      <c r="B17" s="97"/>
      <c r="C17" s="109" t="s">
        <v>13</v>
      </c>
      <c r="D17" s="110">
        <v>2.9164285564034158E-2</v>
      </c>
      <c r="E17" s="110">
        <v>1.1263660432463782</v>
      </c>
      <c r="F17" s="44"/>
      <c r="G17" s="44"/>
      <c r="H17" s="44"/>
      <c r="I17" s="44"/>
      <c r="J17" s="44"/>
    </row>
    <row r="18" spans="1:10">
      <c r="A18" s="97"/>
      <c r="B18" s="97"/>
      <c r="C18" s="109" t="s">
        <v>14</v>
      </c>
      <c r="D18" s="110">
        <v>1.0045473448730207E-3</v>
      </c>
      <c r="E18" s="110">
        <v>5.8169035075305844E-3</v>
      </c>
      <c r="F18" s="44"/>
      <c r="G18" s="44"/>
      <c r="H18" s="44"/>
      <c r="I18" s="44"/>
      <c r="J18" s="44"/>
    </row>
    <row r="19" spans="1:10">
      <c r="A19" s="99"/>
      <c r="B19" s="98" t="s">
        <v>574</v>
      </c>
      <c r="C19" s="100"/>
      <c r="D19" s="106">
        <v>4.2382707528572573E-2</v>
      </c>
      <c r="E19" s="106">
        <v>1.6593147880025836</v>
      </c>
      <c r="F19" s="44"/>
      <c r="G19" s="44"/>
      <c r="H19" s="44"/>
      <c r="I19" s="44"/>
      <c r="J19" s="44"/>
    </row>
    <row r="20" spans="1:10">
      <c r="A20" s="270" t="s">
        <v>240</v>
      </c>
      <c r="B20" s="44"/>
      <c r="C20" s="270"/>
      <c r="D20" s="270"/>
      <c r="E20" s="270"/>
      <c r="F20" s="44"/>
      <c r="G20" s="44"/>
      <c r="H20" s="44"/>
      <c r="I20" s="44"/>
      <c r="J20" s="44"/>
    </row>
    <row r="21" spans="1:10">
      <c r="A21" s="557" t="s">
        <v>214</v>
      </c>
      <c r="B21" s="557"/>
      <c r="C21" s="557"/>
      <c r="D21" s="557"/>
      <c r="E21" s="557"/>
    </row>
    <row r="23" spans="1:10" ht="28.5" customHeight="1">
      <c r="A23" s="558" t="s">
        <v>170</v>
      </c>
      <c r="B23" s="558"/>
      <c r="C23" s="558"/>
      <c r="D23" s="558"/>
      <c r="E23" s="558"/>
    </row>
  </sheetData>
  <mergeCells count="3">
    <mergeCell ref="A3:E3"/>
    <mergeCell ref="A21:E21"/>
    <mergeCell ref="A23:E23"/>
  </mergeCells>
  <hyperlinks>
    <hyperlink ref="C1" location="Indice!A1" display="Cuadro 4.8 Gasto ambiental del Gobierno local como porcentaje del presupuesto general  de egresos "/>
  </hyperlinks>
  <pageMargins left="0.7" right="0.7" top="0.75" bottom="0.75" header="0.3" footer="0.3"/>
  <pageSetup orientation="portrait" r:id="rId1"/>
</worksheet>
</file>

<file path=xl/worksheets/sheet43.xml><?xml version="1.0" encoding="utf-8"?>
<worksheet xmlns="http://schemas.openxmlformats.org/spreadsheetml/2006/main" xmlns:r="http://schemas.openxmlformats.org/officeDocument/2006/relationships">
  <sheetPr>
    <tabColor theme="3" tint="0.39997558519241921"/>
    <pageSetUpPr fitToPage="1"/>
  </sheetPr>
  <dimension ref="A1:E42"/>
  <sheetViews>
    <sheetView topLeftCell="A2" workbookViewId="0">
      <selection activeCell="A2" sqref="A2"/>
    </sheetView>
  </sheetViews>
  <sheetFormatPr baseColWidth="10" defaultRowHeight="12.75"/>
  <cols>
    <col min="1" max="2" width="1.83203125" style="44" customWidth="1"/>
    <col min="3" max="3" width="52.6640625" style="104" customWidth="1"/>
    <col min="4" max="4" width="16" style="44" customWidth="1"/>
    <col min="5" max="5" width="14.5" style="44" customWidth="1"/>
    <col min="6" max="16384" width="12" style="44"/>
  </cols>
  <sheetData>
    <row r="1" spans="1:5" hidden="1">
      <c r="C1" s="419" t="s">
        <v>333</v>
      </c>
      <c r="D1" s="419"/>
      <c r="E1" s="419"/>
    </row>
    <row r="2" spans="1:5">
      <c r="A2" s="19" t="s">
        <v>289</v>
      </c>
      <c r="B2" s="19"/>
      <c r="C2" s="89"/>
      <c r="D2" s="89"/>
      <c r="E2" s="89"/>
    </row>
    <row r="3" spans="1:5" ht="23.25" customHeight="1">
      <c r="A3" s="545" t="s">
        <v>290</v>
      </c>
      <c r="B3" s="545"/>
      <c r="C3" s="545"/>
      <c r="D3" s="545"/>
      <c r="E3" s="545"/>
    </row>
    <row r="4" spans="1:5">
      <c r="A4" s="559" t="s">
        <v>18</v>
      </c>
      <c r="B4" s="559"/>
      <c r="C4" s="559"/>
      <c r="D4" s="559"/>
      <c r="E4" s="559"/>
    </row>
    <row r="5" spans="1:5">
      <c r="A5" s="546" t="s">
        <v>246</v>
      </c>
      <c r="B5" s="546"/>
      <c r="C5" s="546"/>
      <c r="D5" s="546"/>
      <c r="E5" s="546"/>
    </row>
    <row r="6" spans="1:5">
      <c r="A6" s="789" t="s">
        <v>29</v>
      </c>
      <c r="B6" s="789"/>
      <c r="C6" s="789"/>
      <c r="D6" s="789"/>
      <c r="E6" s="789"/>
    </row>
    <row r="7" spans="1:5">
      <c r="C7" s="44"/>
    </row>
    <row r="8" spans="1:5">
      <c r="A8" s="787" t="s">
        <v>19</v>
      </c>
      <c r="B8" s="788"/>
      <c r="C8" s="787"/>
      <c r="D8" s="786">
        <v>2005</v>
      </c>
      <c r="E8" s="786">
        <v>2006</v>
      </c>
    </row>
    <row r="9" spans="1:5">
      <c r="A9" s="91" t="s">
        <v>211</v>
      </c>
      <c r="C9" s="91"/>
      <c r="D9" s="92"/>
      <c r="E9" s="92"/>
    </row>
    <row r="10" spans="1:5">
      <c r="C10" s="93" t="s">
        <v>594</v>
      </c>
      <c r="D10" s="409">
        <v>1.1108612715900388E-4</v>
      </c>
      <c r="E10" s="407">
        <v>1.8343191713112979E-3</v>
      </c>
    </row>
    <row r="11" spans="1:5">
      <c r="C11" s="93" t="s">
        <v>20</v>
      </c>
      <c r="D11" s="409">
        <v>8.2251865773130253E-4</v>
      </c>
      <c r="E11" s="407">
        <v>1.5443500493578254E-2</v>
      </c>
    </row>
    <row r="12" spans="1:5">
      <c r="C12" s="93" t="s">
        <v>21</v>
      </c>
      <c r="D12" s="409">
        <v>7.5378187628201966E-5</v>
      </c>
      <c r="E12" s="407">
        <v>2.3331168094543977E-3</v>
      </c>
    </row>
    <row r="13" spans="1:5">
      <c r="C13" s="93" t="s">
        <v>22</v>
      </c>
      <c r="D13" s="409">
        <v>2.3971166265262078E-5</v>
      </c>
      <c r="E13" s="407">
        <v>1.6619137375069809E-3</v>
      </c>
    </row>
    <row r="14" spans="1:5" s="635" customFormat="1">
      <c r="B14" s="759" t="s">
        <v>556</v>
      </c>
      <c r="C14" s="760"/>
      <c r="D14" s="761">
        <v>1.0329541387837703E-3</v>
      </c>
      <c r="E14" s="762">
        <v>2.1272850211850932E-2</v>
      </c>
    </row>
    <row r="15" spans="1:5">
      <c r="A15" s="91" t="s">
        <v>212</v>
      </c>
      <c r="C15" s="91"/>
      <c r="D15" s="410"/>
      <c r="E15" s="408"/>
    </row>
    <row r="16" spans="1:5">
      <c r="C16" s="93" t="s">
        <v>23</v>
      </c>
      <c r="D16" s="409">
        <v>7.6889792416943439E-5</v>
      </c>
      <c r="E16" s="407">
        <v>1.1995260036889856E-3</v>
      </c>
    </row>
    <row r="17" spans="1:5">
      <c r="C17" s="93" t="s">
        <v>24</v>
      </c>
      <c r="D17" s="409">
        <v>1.4937067495182424E-4</v>
      </c>
      <c r="E17" s="407">
        <v>9.2375902751578958E-4</v>
      </c>
    </row>
    <row r="18" spans="1:5" s="635" customFormat="1">
      <c r="A18" s="638"/>
      <c r="B18" s="759" t="s">
        <v>557</v>
      </c>
      <c r="C18" s="760"/>
      <c r="D18" s="763">
        <v>2.2626046736876768E-4</v>
      </c>
      <c r="E18" s="764">
        <v>2.1232850312047752E-3</v>
      </c>
    </row>
    <row r="19" spans="1:5">
      <c r="A19" s="98" t="s">
        <v>575</v>
      </c>
      <c r="B19" s="99"/>
      <c r="C19" s="100"/>
      <c r="D19" s="411">
        <v>1.2592146061525379E-3</v>
      </c>
      <c r="E19" s="412">
        <v>2.3396135243055706E-2</v>
      </c>
    </row>
    <row r="20" spans="1:5">
      <c r="A20" s="270" t="s">
        <v>595</v>
      </c>
      <c r="C20" s="270"/>
      <c r="D20" s="270"/>
      <c r="E20" s="270"/>
    </row>
    <row r="21" spans="1:5" ht="27" customHeight="1">
      <c r="A21" s="557" t="s">
        <v>214</v>
      </c>
      <c r="B21" s="557"/>
      <c r="C21" s="557"/>
      <c r="D21" s="557"/>
      <c r="E21" s="557"/>
    </row>
    <row r="22" spans="1:5" ht="12.75" customHeight="1"/>
    <row r="23" spans="1:5" ht="29.25" customHeight="1">
      <c r="A23" s="558" t="s">
        <v>170</v>
      </c>
      <c r="B23" s="558"/>
      <c r="C23" s="558"/>
      <c r="D23" s="558"/>
      <c r="E23" s="558"/>
    </row>
    <row r="24" spans="1:5" ht="13.5" customHeight="1"/>
    <row r="25" spans="1:5" ht="13.5" customHeight="1"/>
    <row r="26" spans="1:5" ht="13.5" customHeight="1"/>
    <row r="39" spans="3:5">
      <c r="C39" s="6"/>
    </row>
    <row r="40" spans="3:5">
      <c r="C40" s="2"/>
      <c r="D40" s="5"/>
      <c r="E40" s="5"/>
    </row>
    <row r="41" spans="3:5">
      <c r="C41" s="2"/>
      <c r="D41" s="5"/>
      <c r="E41" s="5"/>
    </row>
    <row r="42" spans="3:5">
      <c r="C42" s="44"/>
      <c r="D42" s="5"/>
      <c r="E42" s="5"/>
    </row>
  </sheetData>
  <mergeCells count="6">
    <mergeCell ref="A23:E23"/>
    <mergeCell ref="A3:E3"/>
    <mergeCell ref="A4:E4"/>
    <mergeCell ref="A5:E5"/>
    <mergeCell ref="A6:E6"/>
    <mergeCell ref="A21:E21"/>
  </mergeCells>
  <hyperlinks>
    <hyperlink ref="C1:E1" location="Indice!A1" display="Cuadro 4.9 Gasto ambiental del Gobierno local como porcentaje del PIB"/>
  </hyperlinks>
  <pageMargins left="0.7" right="0.7" top="0.75" bottom="0.75" header="0.3" footer="0.3"/>
  <pageSetup orientation="portrait" r:id="rId1"/>
</worksheet>
</file>

<file path=xl/worksheets/sheet44.xml><?xml version="1.0" encoding="utf-8"?>
<worksheet xmlns="http://schemas.openxmlformats.org/spreadsheetml/2006/main" xmlns:r="http://schemas.openxmlformats.org/officeDocument/2006/relationships">
  <sheetPr>
    <tabColor theme="3" tint="0.39997558519241921"/>
    <pageSetUpPr fitToPage="1"/>
  </sheetPr>
  <dimension ref="A1:G23"/>
  <sheetViews>
    <sheetView showGridLines="0" topLeftCell="A2" workbookViewId="0">
      <selection activeCell="A2" sqref="A2"/>
    </sheetView>
  </sheetViews>
  <sheetFormatPr baseColWidth="10" defaultRowHeight="12.75"/>
  <cols>
    <col min="1" max="1" width="2" customWidth="1"/>
    <col min="2" max="2" width="2.1640625" customWidth="1"/>
    <col min="3" max="3" width="45.6640625" customWidth="1"/>
    <col min="4" max="5" width="15" customWidth="1"/>
  </cols>
  <sheetData>
    <row r="1" spans="1:7" hidden="1">
      <c r="A1" s="44"/>
      <c r="B1" s="44"/>
      <c r="C1" s="560" t="s">
        <v>334</v>
      </c>
      <c r="D1" s="560"/>
      <c r="E1" s="560"/>
      <c r="F1" s="44"/>
      <c r="G1" s="44"/>
    </row>
    <row r="2" spans="1:7">
      <c r="A2" s="19" t="s">
        <v>292</v>
      </c>
      <c r="B2" s="19"/>
      <c r="C2" s="89"/>
      <c r="D2" s="89"/>
      <c r="E2" s="89"/>
      <c r="F2" s="44"/>
      <c r="G2" s="44"/>
    </row>
    <row r="3" spans="1:7" ht="22.5" customHeight="1">
      <c r="A3" s="545" t="s">
        <v>291</v>
      </c>
      <c r="B3" s="545"/>
      <c r="C3" s="545"/>
      <c r="D3" s="545"/>
      <c r="E3" s="545"/>
      <c r="F3" s="44"/>
      <c r="G3" s="44"/>
    </row>
    <row r="4" spans="1:7">
      <c r="A4" s="559" t="s">
        <v>18</v>
      </c>
      <c r="B4" s="559"/>
      <c r="C4" s="559"/>
      <c r="D4" s="559"/>
      <c r="E4" s="559"/>
      <c r="F4" s="44"/>
      <c r="G4" s="44"/>
    </row>
    <row r="5" spans="1:7">
      <c r="A5" s="546" t="s">
        <v>246</v>
      </c>
      <c r="B5" s="546"/>
      <c r="C5" s="546"/>
      <c r="D5" s="546"/>
      <c r="E5" s="546"/>
      <c r="F5" s="44"/>
      <c r="G5" s="44"/>
    </row>
    <row r="6" spans="1:7" s="529" customFormat="1">
      <c r="A6" s="789" t="s">
        <v>28</v>
      </c>
      <c r="B6" s="789"/>
      <c r="C6" s="789"/>
      <c r="D6" s="789"/>
      <c r="E6" s="789"/>
      <c r="F6" s="44"/>
      <c r="G6" s="44"/>
    </row>
    <row r="7" spans="1:7">
      <c r="F7" s="44"/>
      <c r="G7" s="44"/>
    </row>
    <row r="8" spans="1:7">
      <c r="A8" s="787" t="s">
        <v>19</v>
      </c>
      <c r="B8" s="788"/>
      <c r="C8" s="787"/>
      <c r="D8" s="786">
        <v>2005</v>
      </c>
      <c r="E8" s="786">
        <v>2006</v>
      </c>
      <c r="F8" s="44"/>
      <c r="G8" s="44"/>
    </row>
    <row r="9" spans="1:7">
      <c r="A9" s="91" t="s">
        <v>286</v>
      </c>
      <c r="B9" s="44"/>
      <c r="C9" s="91"/>
      <c r="D9" s="92"/>
      <c r="E9" s="92"/>
      <c r="F9" s="44"/>
      <c r="G9" s="44"/>
    </row>
    <row r="10" spans="1:7" ht="15.75" customHeight="1">
      <c r="A10" s="44"/>
      <c r="B10" s="44"/>
      <c r="C10" s="93" t="s">
        <v>594</v>
      </c>
      <c r="D10" s="101">
        <v>8.9426808691520543E-4</v>
      </c>
      <c r="E10" s="101">
        <v>6.4273154466033697E-2</v>
      </c>
      <c r="F10" s="44"/>
      <c r="G10" s="44"/>
    </row>
    <row r="11" spans="1:7" ht="11.25" customHeight="1">
      <c r="A11" s="44"/>
      <c r="B11" s="44"/>
      <c r="C11" s="93" t="s">
        <v>20</v>
      </c>
      <c r="D11" s="101">
        <v>8.2251865773130275E-4</v>
      </c>
      <c r="E11" s="101">
        <v>1.5443500493578254E-2</v>
      </c>
      <c r="F11" s="44"/>
      <c r="G11" s="44"/>
    </row>
    <row r="12" spans="1:7" ht="12" customHeight="1">
      <c r="A12" s="44"/>
      <c r="B12" s="44"/>
      <c r="C12" s="93" t="s">
        <v>21</v>
      </c>
      <c r="D12" s="101">
        <v>7.5378187628201966E-5</v>
      </c>
      <c r="E12" s="101">
        <v>2.3331168094543973E-3</v>
      </c>
      <c r="F12" s="44"/>
      <c r="G12" s="44"/>
    </row>
    <row r="13" spans="1:7" ht="13.5" customHeight="1">
      <c r="A13" s="44"/>
      <c r="B13" s="44"/>
      <c r="C13" s="93" t="s">
        <v>22</v>
      </c>
      <c r="D13" s="101">
        <v>2.3971166265262078E-5</v>
      </c>
      <c r="E13" s="101">
        <v>1.6619137375069809E-3</v>
      </c>
      <c r="F13" s="44"/>
      <c r="G13" s="44"/>
    </row>
    <row r="14" spans="1:7" s="703" customFormat="1">
      <c r="A14" s="635"/>
      <c r="B14" s="759" t="s">
        <v>556</v>
      </c>
      <c r="C14" s="760"/>
      <c r="D14" s="771">
        <f>SUM(D10:D13)</f>
        <v>1.8161360985399721E-3</v>
      </c>
      <c r="E14" s="771">
        <f>SUM(E10:E13)</f>
        <v>8.3711685506573333E-2</v>
      </c>
      <c r="F14" s="635"/>
      <c r="G14" s="635"/>
    </row>
    <row r="15" spans="1:7">
      <c r="A15" s="91" t="s">
        <v>244</v>
      </c>
      <c r="B15" s="44"/>
      <c r="C15" s="91"/>
      <c r="D15" s="102"/>
      <c r="E15" s="102"/>
      <c r="F15" s="44"/>
      <c r="G15" s="44"/>
    </row>
    <row r="16" spans="1:7" ht="12.75" customHeight="1">
      <c r="A16" s="44"/>
      <c r="B16" s="44"/>
      <c r="C16" s="93" t="s">
        <v>596</v>
      </c>
      <c r="D16" s="101">
        <v>4.336569143725307E-3</v>
      </c>
      <c r="E16" s="101">
        <v>0.17887365664378982</v>
      </c>
      <c r="F16" s="44"/>
      <c r="G16" s="44"/>
    </row>
    <row r="17" spans="1:7" ht="16.5" customHeight="1">
      <c r="A17" s="44"/>
      <c r="B17" s="44"/>
      <c r="C17" s="93" t="s">
        <v>24</v>
      </c>
      <c r="D17" s="101">
        <v>1.4937067495182424E-4</v>
      </c>
      <c r="E17" s="101">
        <v>9.2375902751578979E-4</v>
      </c>
      <c r="F17" s="44"/>
      <c r="G17" s="44"/>
    </row>
    <row r="18" spans="1:7" s="703" customFormat="1">
      <c r="A18" s="759"/>
      <c r="B18" s="759" t="s">
        <v>557</v>
      </c>
      <c r="C18" s="760"/>
      <c r="D18" s="772">
        <f>+D16+D17</f>
        <v>4.4859398186771308E-3</v>
      </c>
      <c r="E18" s="772">
        <f>+E16+E17</f>
        <v>0.17979741567130561</v>
      </c>
      <c r="F18" s="635"/>
      <c r="G18" s="635"/>
    </row>
    <row r="19" spans="1:7">
      <c r="A19" s="98" t="s">
        <v>575</v>
      </c>
      <c r="B19" s="99"/>
      <c r="C19" s="100"/>
      <c r="D19" s="103">
        <f>+D14+D18</f>
        <v>6.3020759172171033E-3</v>
      </c>
      <c r="E19" s="103">
        <f>+E14+E18</f>
        <v>0.26350910117787896</v>
      </c>
      <c r="F19" s="44"/>
      <c r="G19" s="44"/>
    </row>
    <row r="20" spans="1:7">
      <c r="A20" s="270" t="s">
        <v>240</v>
      </c>
      <c r="B20" s="44"/>
      <c r="C20" s="270"/>
      <c r="D20" s="270"/>
      <c r="E20" s="270"/>
    </row>
    <row r="21" spans="1:7" ht="26.25" customHeight="1">
      <c r="A21" s="557" t="s">
        <v>214</v>
      </c>
      <c r="B21" s="557"/>
      <c r="C21" s="557"/>
      <c r="D21" s="557"/>
      <c r="E21" s="557"/>
    </row>
    <row r="22" spans="1:7" ht="12" customHeight="1"/>
    <row r="23" spans="1:7" ht="30" customHeight="1">
      <c r="A23" s="558" t="s">
        <v>170</v>
      </c>
      <c r="B23" s="558"/>
      <c r="C23" s="558"/>
      <c r="D23" s="558"/>
      <c r="E23" s="558"/>
    </row>
  </sheetData>
  <mergeCells count="7">
    <mergeCell ref="A23:E23"/>
    <mergeCell ref="C1:E1"/>
    <mergeCell ref="A3:E3"/>
    <mergeCell ref="A4:E4"/>
    <mergeCell ref="A5:E5"/>
    <mergeCell ref="A6:E6"/>
    <mergeCell ref="A21:E21"/>
  </mergeCells>
  <hyperlinks>
    <hyperlink ref="C1:E1" location="Indice!A1" display="Cuadro 4.9 Gasto ambiental del Gobierno local como porcentaje del PIB"/>
  </hyperlinks>
  <pageMargins left="0.7" right="0.7" top="0.75" bottom="0.75" header="0.3" footer="0.3"/>
  <pageSetup orientation="portrait" r:id="rId1"/>
</worksheet>
</file>

<file path=xl/worksheets/sheet45.xml><?xml version="1.0" encoding="utf-8"?>
<worksheet xmlns="http://schemas.openxmlformats.org/spreadsheetml/2006/main" xmlns:r="http://schemas.openxmlformats.org/officeDocument/2006/relationships">
  <sheetPr>
    <tabColor theme="3" tint="0.39997558519241921"/>
    <pageSetUpPr fitToPage="1"/>
  </sheetPr>
  <dimension ref="A1:E25"/>
  <sheetViews>
    <sheetView topLeftCell="A2" workbookViewId="0">
      <selection activeCell="A2" sqref="A2"/>
    </sheetView>
  </sheetViews>
  <sheetFormatPr baseColWidth="10" defaultRowHeight="12.75"/>
  <cols>
    <col min="1" max="1" width="66.33203125" style="82" customWidth="1"/>
    <col min="2" max="4" width="16.1640625" style="82" customWidth="1"/>
    <col min="5" max="16384" width="12" style="49"/>
  </cols>
  <sheetData>
    <row r="1" spans="1:4" hidden="1">
      <c r="A1" s="7" t="s">
        <v>576</v>
      </c>
    </row>
    <row r="2" spans="1:4" ht="13.5" customHeight="1">
      <c r="A2" s="55" t="s">
        <v>293</v>
      </c>
      <c r="B2" s="83"/>
      <c r="C2" s="83"/>
      <c r="D2" s="83"/>
    </row>
    <row r="3" spans="1:4" ht="41.25" customHeight="1">
      <c r="A3" s="545" t="s">
        <v>597</v>
      </c>
      <c r="B3" s="545"/>
      <c r="C3" s="545"/>
      <c r="D3" s="545"/>
    </row>
    <row r="4" spans="1:4">
      <c r="A4" s="561" t="s">
        <v>246</v>
      </c>
      <c r="B4" s="561"/>
      <c r="C4" s="561"/>
      <c r="D4" s="561"/>
    </row>
    <row r="5" spans="1:4">
      <c r="A5" s="704" t="s">
        <v>28</v>
      </c>
      <c r="B5" s="539"/>
      <c r="C5" s="539"/>
      <c r="D5" s="539"/>
    </row>
    <row r="6" spans="1:4">
      <c r="A6" s="49"/>
      <c r="B6" s="85"/>
      <c r="C6" s="85"/>
      <c r="D6" s="85"/>
    </row>
    <row r="7" spans="1:4">
      <c r="A7" s="628" t="s">
        <v>142</v>
      </c>
      <c r="B7" s="630">
        <v>2004</v>
      </c>
      <c r="C7" s="630">
        <v>2005</v>
      </c>
      <c r="D7" s="630">
        <v>2006</v>
      </c>
    </row>
    <row r="8" spans="1:4">
      <c r="A8" s="458" t="s">
        <v>132</v>
      </c>
      <c r="B8" s="413">
        <v>1.6737954705910731</v>
      </c>
      <c r="C8" s="413">
        <v>1.2255746366393647</v>
      </c>
      <c r="D8" s="413">
        <v>1.2120558050018944</v>
      </c>
    </row>
    <row r="9" spans="1:4">
      <c r="A9" s="458" t="s">
        <v>133</v>
      </c>
      <c r="B9" s="413">
        <v>23.428397965247125</v>
      </c>
      <c r="C9" s="413">
        <v>37.759861408201189</v>
      </c>
      <c r="D9" s="413">
        <v>21.074384811931363</v>
      </c>
    </row>
    <row r="10" spans="1:4">
      <c r="A10" s="268" t="s">
        <v>134</v>
      </c>
      <c r="B10" s="413">
        <v>17.69368931698498</v>
      </c>
      <c r="C10" s="413">
        <v>14.377153886929944</v>
      </c>
      <c r="D10" s="413">
        <v>14.60948208697695</v>
      </c>
    </row>
    <row r="11" spans="1:4">
      <c r="A11" s="458" t="s">
        <v>135</v>
      </c>
      <c r="B11" s="413">
        <v>30.259108538034667</v>
      </c>
      <c r="C11" s="413">
        <v>23.805605987797119</v>
      </c>
      <c r="D11" s="413">
        <v>37.692320258957054</v>
      </c>
    </row>
    <row r="12" spans="1:4">
      <c r="A12" s="458" t="s">
        <v>136</v>
      </c>
      <c r="B12" s="413">
        <v>0.45725404217852805</v>
      </c>
      <c r="C12" s="413">
        <v>0.33125874116370574</v>
      </c>
      <c r="D12" s="413">
        <v>0.33835723448949107</v>
      </c>
    </row>
    <row r="13" spans="1:4">
      <c r="A13" s="458" t="s">
        <v>137</v>
      </c>
      <c r="B13" s="413">
        <v>2.3270948920137515</v>
      </c>
      <c r="C13" s="413">
        <v>2.051687961571091</v>
      </c>
      <c r="D13" s="413">
        <v>2.3720981005216726</v>
      </c>
    </row>
    <row r="14" spans="1:4">
      <c r="A14" s="458" t="s">
        <v>294</v>
      </c>
      <c r="B14" s="413">
        <v>21.716067746821352</v>
      </c>
      <c r="C14" s="413">
        <v>18.598137925489961</v>
      </c>
      <c r="D14" s="413">
        <v>20.599104939494222</v>
      </c>
    </row>
    <row r="15" spans="1:4">
      <c r="A15" s="458" t="s">
        <v>139</v>
      </c>
      <c r="B15" s="413">
        <v>0.38029555959210853</v>
      </c>
      <c r="C15" s="413">
        <v>0.37399030729546701</v>
      </c>
      <c r="D15" s="413">
        <v>0.4071747378642942</v>
      </c>
    </row>
    <row r="16" spans="1:4">
      <c r="A16" s="823" t="s">
        <v>598</v>
      </c>
      <c r="B16" s="413">
        <v>0.6767824376892152</v>
      </c>
      <c r="C16" s="413">
        <v>0.49820978719113335</v>
      </c>
      <c r="D16" s="413">
        <v>0.53742362611275529</v>
      </c>
    </row>
    <row r="17" spans="1:5">
      <c r="A17" s="823" t="s">
        <v>599</v>
      </c>
      <c r="B17" s="413">
        <v>1.3875140308472262</v>
      </c>
      <c r="C17" s="413">
        <v>0.97851935772101839</v>
      </c>
      <c r="D17" s="413">
        <v>1.1575983986502894</v>
      </c>
    </row>
    <row r="18" spans="1:5">
      <c r="A18" s="208" t="s">
        <v>577</v>
      </c>
      <c r="B18" s="414">
        <v>100</v>
      </c>
      <c r="C18" s="414">
        <v>100</v>
      </c>
      <c r="D18" s="414">
        <v>100</v>
      </c>
    </row>
    <row r="19" spans="1:5">
      <c r="A19" s="270" t="s">
        <v>240</v>
      </c>
      <c r="B19" s="86"/>
      <c r="C19" s="86"/>
      <c r="D19" s="86"/>
    </row>
    <row r="20" spans="1:5" ht="12.75" customHeight="1">
      <c r="B20" s="525"/>
      <c r="C20" s="525"/>
      <c r="D20" s="525"/>
      <c r="E20" s="525"/>
    </row>
    <row r="21" spans="1:5">
      <c r="A21" s="525" t="s">
        <v>295</v>
      </c>
      <c r="B21" s="1"/>
      <c r="C21" s="1"/>
      <c r="D21" s="1"/>
    </row>
    <row r="22" spans="1:5">
      <c r="B22" s="87"/>
      <c r="C22" s="87"/>
      <c r="D22" s="87"/>
    </row>
    <row r="25" spans="1:5">
      <c r="B25" s="88"/>
      <c r="C25" s="88"/>
      <c r="D25" s="88"/>
    </row>
  </sheetData>
  <mergeCells count="3">
    <mergeCell ref="A4:D4"/>
    <mergeCell ref="A3:D3"/>
    <mergeCell ref="A5:D5"/>
  </mergeCells>
  <hyperlinks>
    <hyperlink ref="A1" location="Indice!A1" display="Cuadro 5.1 Estructura porcentual sobre el total del presupuesto asignado a entidades que realizan actividades o programas de medio ambiente o recursos naturales"/>
  </hyperlinks>
  <pageMargins left="0.7" right="0.7" top="0.75" bottom="0.75" header="0.3" footer="0.3"/>
  <pageSetup orientation="portrait" r:id="rId1"/>
</worksheet>
</file>

<file path=xl/worksheets/sheet46.xml><?xml version="1.0" encoding="utf-8"?>
<worksheet xmlns="http://schemas.openxmlformats.org/spreadsheetml/2006/main" xmlns:r="http://schemas.openxmlformats.org/officeDocument/2006/relationships">
  <sheetPr>
    <tabColor theme="3" tint="0.39997558519241921"/>
    <pageSetUpPr fitToPage="1"/>
  </sheetPr>
  <dimension ref="A1:F93"/>
  <sheetViews>
    <sheetView topLeftCell="A46" workbookViewId="0">
      <selection activeCell="A46" sqref="A46"/>
    </sheetView>
  </sheetViews>
  <sheetFormatPr baseColWidth="10" defaultRowHeight="12.75"/>
  <cols>
    <col min="1" max="1" width="65.33203125" style="44" customWidth="1"/>
    <col min="2" max="2" width="15.33203125" style="44" customWidth="1"/>
    <col min="3" max="3" width="14.6640625" style="44" customWidth="1"/>
    <col min="4" max="4" width="15.6640625" style="44" customWidth="1"/>
    <col min="5" max="16384" width="12" style="44"/>
  </cols>
  <sheetData>
    <row r="1" spans="1:4" hidden="1"/>
    <row r="2" spans="1:4" hidden="1"/>
    <row r="3" spans="1:4" hidden="1">
      <c r="A3" s="44" t="s">
        <v>143</v>
      </c>
    </row>
    <row r="4" spans="1:4" hidden="1">
      <c r="A4" s="63" t="s">
        <v>132</v>
      </c>
      <c r="B4" s="64">
        <v>118926793.63</v>
      </c>
      <c r="C4" s="64">
        <v>125066257.42</v>
      </c>
      <c r="D4" s="64">
        <v>128624966.04000001</v>
      </c>
    </row>
    <row r="5" spans="1:4" hidden="1">
      <c r="A5" s="63" t="s">
        <v>133</v>
      </c>
      <c r="B5" s="64">
        <v>1664638421.3900001</v>
      </c>
      <c r="C5" s="64">
        <v>3853281885.77</v>
      </c>
      <c r="D5" s="64">
        <v>2236441605.71</v>
      </c>
    </row>
    <row r="6" spans="1:4" hidden="1">
      <c r="A6" s="63" t="s">
        <v>134</v>
      </c>
      <c r="B6" s="64">
        <v>1257174950.54</v>
      </c>
      <c r="C6" s="64">
        <v>1467145920.97</v>
      </c>
      <c r="D6" s="64">
        <v>1550377573</v>
      </c>
    </row>
    <row r="7" spans="1:4" hidden="1">
      <c r="A7" s="63" t="s">
        <v>135</v>
      </c>
      <c r="B7" s="64">
        <v>2149975202.9200001</v>
      </c>
      <c r="C7" s="64">
        <v>2429291499.27</v>
      </c>
      <c r="D7" s="64">
        <v>3999958907.23</v>
      </c>
    </row>
    <row r="8" spans="1:4" hidden="1">
      <c r="A8" s="63" t="s">
        <v>136</v>
      </c>
      <c r="B8" s="64">
        <v>32488890.109999999</v>
      </c>
      <c r="C8" s="64">
        <v>33803972.240000002</v>
      </c>
      <c r="D8" s="64">
        <v>35906917.5</v>
      </c>
    </row>
    <row r="9" spans="1:4" hidden="1">
      <c r="A9" s="63" t="s">
        <v>137</v>
      </c>
      <c r="B9" s="64">
        <v>165345132.56999999</v>
      </c>
      <c r="C9" s="64">
        <v>209368672.52000001</v>
      </c>
      <c r="D9" s="64">
        <v>251730189.62</v>
      </c>
    </row>
    <row r="10" spans="1:4" hidden="1">
      <c r="A10" s="63" t="s">
        <v>138</v>
      </c>
      <c r="B10" s="64">
        <v>1542973650.46</v>
      </c>
      <c r="C10" s="64">
        <v>1897884825.4400001</v>
      </c>
      <c r="D10" s="64">
        <v>2186004276.6700001</v>
      </c>
    </row>
    <row r="11" spans="1:4" hidden="1">
      <c r="A11" s="63" t="s">
        <v>139</v>
      </c>
      <c r="B11" s="64">
        <v>27020823.23</v>
      </c>
      <c r="C11" s="64">
        <v>38164601.850000001</v>
      </c>
      <c r="D11" s="64">
        <v>43209922.030000001</v>
      </c>
    </row>
    <row r="12" spans="1:4" hidden="1">
      <c r="A12" s="63" t="s">
        <v>140</v>
      </c>
      <c r="B12" s="64">
        <v>48086858.109999999</v>
      </c>
      <c r="C12" s="64">
        <v>50840831.420000002</v>
      </c>
      <c r="D12" s="64">
        <v>57032106.420000002</v>
      </c>
    </row>
    <row r="13" spans="1:4" hidden="1">
      <c r="A13" s="63" t="s">
        <v>141</v>
      </c>
      <c r="B13" s="65">
        <v>98585877.25</v>
      </c>
      <c r="C13" s="65">
        <v>99854998.810000002</v>
      </c>
      <c r="D13" s="65">
        <v>122845874.01000001</v>
      </c>
    </row>
    <row r="14" spans="1:4" hidden="1">
      <c r="B14" s="66">
        <v>7105216600.2099981</v>
      </c>
      <c r="C14" s="66">
        <v>10204703465.710001</v>
      </c>
      <c r="D14" s="66">
        <v>10612132338.230001</v>
      </c>
    </row>
    <row r="15" spans="1:4" hidden="1">
      <c r="A15" s="63" t="s">
        <v>144</v>
      </c>
    </row>
    <row r="16" spans="1:4" hidden="1">
      <c r="A16" s="63" t="s">
        <v>132</v>
      </c>
      <c r="B16" s="67">
        <v>396500</v>
      </c>
      <c r="C16" s="67">
        <v>386500</v>
      </c>
      <c r="D16" s="67">
        <v>381250</v>
      </c>
    </row>
    <row r="17" spans="1:4" hidden="1">
      <c r="A17" s="63" t="s">
        <v>133</v>
      </c>
      <c r="B17" s="67">
        <v>6313523.8300000001</v>
      </c>
      <c r="C17" s="67">
        <v>6517027.4000000004</v>
      </c>
      <c r="D17" s="67">
        <v>779860.42999999993</v>
      </c>
    </row>
    <row r="18" spans="1:4" hidden="1">
      <c r="A18" s="63" t="s">
        <v>134</v>
      </c>
      <c r="B18" s="67">
        <v>79987173.920000002</v>
      </c>
      <c r="C18" s="67">
        <v>92190580.309999987</v>
      </c>
      <c r="D18" s="67">
        <v>85877967.589999989</v>
      </c>
    </row>
    <row r="19" spans="1:4" hidden="1">
      <c r="A19" s="63" t="s">
        <v>135</v>
      </c>
      <c r="B19" s="67">
        <v>14587911.470000003</v>
      </c>
      <c r="C19" s="67">
        <v>15756703.17</v>
      </c>
      <c r="D19" s="67">
        <v>17625870.23</v>
      </c>
    </row>
    <row r="20" spans="1:4" hidden="1">
      <c r="A20" s="63" t="s">
        <v>136</v>
      </c>
      <c r="B20" s="67">
        <v>3415920.84</v>
      </c>
      <c r="C20" s="67">
        <v>2944919</v>
      </c>
      <c r="D20" s="67">
        <v>3818317.18</v>
      </c>
    </row>
    <row r="21" spans="1:4" hidden="1">
      <c r="A21" s="63" t="s">
        <v>137</v>
      </c>
      <c r="B21" s="67">
        <v>26826006.640000001</v>
      </c>
      <c r="C21" s="67">
        <v>30775572.309999999</v>
      </c>
      <c r="D21" s="67">
        <v>38651103.600000001</v>
      </c>
    </row>
    <row r="22" spans="1:4" hidden="1">
      <c r="A22" s="63" t="s">
        <v>138</v>
      </c>
      <c r="B22" s="67">
        <v>105500262.54000002</v>
      </c>
      <c r="C22" s="67">
        <v>197655255.65000004</v>
      </c>
      <c r="D22" s="67">
        <v>128818611.44999999</v>
      </c>
    </row>
    <row r="23" spans="1:4" hidden="1">
      <c r="A23" s="63" t="s">
        <v>139</v>
      </c>
      <c r="B23" s="67">
        <v>27020823.229999997</v>
      </c>
      <c r="C23" s="67">
        <v>38164591.848880604</v>
      </c>
      <c r="D23" s="67">
        <v>43209923.089999996</v>
      </c>
    </row>
    <row r="24" spans="1:4" hidden="1">
      <c r="A24" s="63" t="s">
        <v>140</v>
      </c>
      <c r="B24" s="67">
        <v>48086858.109999999</v>
      </c>
      <c r="C24" s="67">
        <v>50840831.420000002</v>
      </c>
      <c r="D24" s="67">
        <v>57002106.139999993</v>
      </c>
    </row>
    <row r="25" spans="1:4" hidden="1">
      <c r="A25" s="63" t="s">
        <v>141</v>
      </c>
      <c r="B25" s="68">
        <v>98585877.25</v>
      </c>
      <c r="C25" s="68">
        <v>99854998.810000002</v>
      </c>
      <c r="D25" s="68">
        <v>122845874.01000001</v>
      </c>
    </row>
    <row r="26" spans="1:4" hidden="1">
      <c r="B26" s="69">
        <v>410720857.82999998</v>
      </c>
      <c r="C26" s="69">
        <v>535086979.91888064</v>
      </c>
      <c r="D26" s="69">
        <v>499010883.71999997</v>
      </c>
    </row>
    <row r="27" spans="1:4" hidden="1">
      <c r="A27" s="562" t="s">
        <v>145</v>
      </c>
      <c r="B27" s="562"/>
      <c r="C27" s="562"/>
      <c r="D27" s="562"/>
    </row>
    <row r="28" spans="1:4" hidden="1">
      <c r="A28" s="63" t="s">
        <v>146</v>
      </c>
      <c r="B28" s="63"/>
      <c r="C28" s="63"/>
      <c r="D28" s="63"/>
    </row>
    <row r="29" spans="1:4" hidden="1">
      <c r="A29" s="63" t="s">
        <v>147</v>
      </c>
      <c r="B29" s="63"/>
      <c r="C29" s="63"/>
      <c r="D29" s="63"/>
    </row>
    <row r="30" spans="1:4" hidden="1">
      <c r="A30" s="63" t="s">
        <v>29</v>
      </c>
      <c r="B30" s="63"/>
      <c r="C30" s="63"/>
      <c r="D30" s="63"/>
    </row>
    <row r="31" spans="1:4" hidden="1">
      <c r="A31" s="70" t="s">
        <v>142</v>
      </c>
      <c r="B31" s="71">
        <v>2004</v>
      </c>
      <c r="C31" s="71">
        <v>2005</v>
      </c>
      <c r="D31" s="71">
        <v>2006</v>
      </c>
    </row>
    <row r="32" spans="1:4" hidden="1">
      <c r="A32" s="63" t="s">
        <v>132</v>
      </c>
      <c r="B32" s="72">
        <f t="shared" ref="B32:B41" si="0">+B16*100/B4</f>
        <v>0.33339837718451742</v>
      </c>
      <c r="C32" s="72">
        <f t="shared" ref="C32:D32" si="1">+C16*100/C4</f>
        <v>0.30903619247360059</v>
      </c>
      <c r="D32" s="72">
        <f t="shared" si="1"/>
        <v>0.29640435425377548</v>
      </c>
    </row>
    <row r="33" spans="1:6" hidden="1">
      <c r="A33" s="63" t="s">
        <v>133</v>
      </c>
      <c r="B33" s="72">
        <f t="shared" si="0"/>
        <v>0.37927298498421685</v>
      </c>
      <c r="C33" s="72">
        <f t="shared" ref="C33:D33" si="2">+C17*100/C5</f>
        <v>0.16912926677041445</v>
      </c>
      <c r="D33" s="72">
        <f t="shared" si="2"/>
        <v>3.4870592105284093E-2</v>
      </c>
    </row>
    <row r="34" spans="1:6" hidden="1">
      <c r="A34" s="63" t="s">
        <v>134</v>
      </c>
      <c r="B34" s="72">
        <f t="shared" si="0"/>
        <v>6.3624536812193684</v>
      </c>
      <c r="C34" s="72">
        <f t="shared" ref="C34:D34" si="3">+C18*100/C6</f>
        <v>6.2836681063767941</v>
      </c>
      <c r="D34" s="72">
        <f t="shared" si="3"/>
        <v>5.539164722553684</v>
      </c>
    </row>
    <row r="35" spans="1:6" hidden="1">
      <c r="A35" s="63" t="s">
        <v>135</v>
      </c>
      <c r="B35" s="72">
        <f t="shared" si="0"/>
        <v>0.67851533590654223</v>
      </c>
      <c r="C35" s="72">
        <f t="shared" ref="C35:D35" si="4">+C19*100/C7</f>
        <v>0.64861311105459662</v>
      </c>
      <c r="D35" s="72">
        <f t="shared" si="4"/>
        <v>0.440651282645452</v>
      </c>
    </row>
    <row r="36" spans="1:6" hidden="1">
      <c r="A36" s="63" t="s">
        <v>136</v>
      </c>
      <c r="B36" s="72">
        <f t="shared" si="0"/>
        <v>10.514119837379695</v>
      </c>
      <c r="C36" s="72">
        <f t="shared" ref="C36:D36" si="5">+C20*100/C8</f>
        <v>8.7117542846497145</v>
      </c>
      <c r="D36" s="72">
        <f t="shared" si="5"/>
        <v>10.633931971464829</v>
      </c>
    </row>
    <row r="37" spans="1:6" hidden="1">
      <c r="A37" s="63" t="s">
        <v>137</v>
      </c>
      <c r="B37" s="72">
        <f t="shared" si="0"/>
        <v>16.224249376462911</v>
      </c>
      <c r="C37" s="72">
        <f t="shared" ref="C37:D37" si="6">+C21*100/C9</f>
        <v>14.699225027115817</v>
      </c>
      <c r="D37" s="72">
        <f t="shared" si="6"/>
        <v>15.354178876338146</v>
      </c>
    </row>
    <row r="38" spans="1:6" hidden="1">
      <c r="A38" s="63" t="s">
        <v>138</v>
      </c>
      <c r="B38" s="72">
        <f t="shared" si="0"/>
        <v>6.8374636539352229</v>
      </c>
      <c r="C38" s="72">
        <f t="shared" ref="C38:D38" si="7">+C22*100/C10</f>
        <v>10.414502134194377</v>
      </c>
      <c r="D38" s="72">
        <f t="shared" si="7"/>
        <v>5.8928801203551568</v>
      </c>
    </row>
    <row r="39" spans="1:6" hidden="1">
      <c r="A39" s="63" t="s">
        <v>139</v>
      </c>
      <c r="B39" s="73">
        <f t="shared" si="0"/>
        <v>99.999999999999986</v>
      </c>
      <c r="C39" s="73">
        <f t="shared" ref="C39:D39" si="8">+C23*100/C11</f>
        <v>99.999973794776025</v>
      </c>
      <c r="D39" s="73">
        <f t="shared" si="8"/>
        <v>100.00000245314027</v>
      </c>
    </row>
    <row r="40" spans="1:6" hidden="1">
      <c r="A40" s="63" t="s">
        <v>140</v>
      </c>
      <c r="B40" s="73">
        <f t="shared" si="0"/>
        <v>100</v>
      </c>
      <c r="C40" s="73">
        <f t="shared" ref="C40:D40" si="9">+C24*100/C12</f>
        <v>100</v>
      </c>
      <c r="D40" s="73">
        <f t="shared" si="9"/>
        <v>99.947397559229046</v>
      </c>
    </row>
    <row r="41" spans="1:6" hidden="1">
      <c r="A41" s="74" t="s">
        <v>141</v>
      </c>
      <c r="B41" s="75">
        <f t="shared" si="0"/>
        <v>100</v>
      </c>
      <c r="C41" s="75">
        <f t="shared" ref="C41:D41" si="10">+C25*100/C13</f>
        <v>100</v>
      </c>
      <c r="D41" s="75">
        <f t="shared" si="10"/>
        <v>100</v>
      </c>
    </row>
    <row r="42" spans="1:6" hidden="1"/>
    <row r="43" spans="1:6" hidden="1"/>
    <row r="44" spans="1:6" hidden="1"/>
    <row r="45" spans="1:6" hidden="1">
      <c r="A45" s="7" t="s">
        <v>578</v>
      </c>
      <c r="B45" s="7"/>
      <c r="C45" s="7"/>
      <c r="D45" s="7"/>
      <c r="E45" s="76"/>
      <c r="F45" s="76"/>
    </row>
    <row r="46" spans="1:6">
      <c r="A46" s="54" t="s">
        <v>296</v>
      </c>
      <c r="B46" s="54"/>
      <c r="C46" s="54"/>
      <c r="D46" s="54"/>
    </row>
    <row r="47" spans="1:6" ht="24.75" customHeight="1">
      <c r="A47" s="545" t="s">
        <v>337</v>
      </c>
      <c r="B47" s="545"/>
      <c r="C47" s="545"/>
      <c r="D47" s="545"/>
    </row>
    <row r="48" spans="1:6">
      <c r="A48" s="561" t="s">
        <v>146</v>
      </c>
      <c r="B48" s="561"/>
      <c r="C48" s="561"/>
      <c r="D48" s="561"/>
    </row>
    <row r="49" spans="1:5">
      <c r="A49" s="561" t="s">
        <v>246</v>
      </c>
      <c r="B49" s="561"/>
      <c r="C49" s="561"/>
      <c r="D49" s="561"/>
    </row>
    <row r="50" spans="1:5">
      <c r="A50" s="773" t="s">
        <v>29</v>
      </c>
      <c r="B50" s="722"/>
      <c r="C50" s="722"/>
      <c r="D50" s="722"/>
    </row>
    <row r="51" spans="1:5">
      <c r="B51" s="77"/>
      <c r="C51" s="77"/>
      <c r="D51" s="77"/>
    </row>
    <row r="52" spans="1:5">
      <c r="A52" s="784" t="s">
        <v>142</v>
      </c>
      <c r="B52" s="785">
        <v>2004</v>
      </c>
      <c r="C52" s="785">
        <v>2005</v>
      </c>
      <c r="D52" s="785">
        <v>2006</v>
      </c>
    </row>
    <row r="53" spans="1:5">
      <c r="A53" s="825" t="s">
        <v>132</v>
      </c>
      <c r="B53" s="78">
        <v>0.33339837718451742</v>
      </c>
      <c r="C53" s="78">
        <v>0.30903619247360059</v>
      </c>
      <c r="D53" s="78">
        <v>0.29640435425377548</v>
      </c>
    </row>
    <row r="54" spans="1:5">
      <c r="A54" s="458" t="s">
        <v>133</v>
      </c>
      <c r="B54" s="78">
        <v>0.37927298498421685</v>
      </c>
      <c r="C54" s="78">
        <v>0.16912926677041445</v>
      </c>
      <c r="D54" s="78">
        <v>3.4870592105284093E-2</v>
      </c>
    </row>
    <row r="55" spans="1:5" ht="13.5" customHeight="1">
      <c r="A55" s="458" t="s">
        <v>134</v>
      </c>
      <c r="B55" s="78">
        <v>6.3624536812193684</v>
      </c>
      <c r="C55" s="78">
        <v>6.2836681063767941</v>
      </c>
      <c r="D55" s="78">
        <v>5.539164722553684</v>
      </c>
    </row>
    <row r="56" spans="1:5">
      <c r="A56" s="268" t="s">
        <v>135</v>
      </c>
      <c r="B56" s="78">
        <v>0.67851533590654223</v>
      </c>
      <c r="C56" s="78">
        <v>0.64861311105459662</v>
      </c>
      <c r="D56" s="78">
        <v>0.41372258875179585</v>
      </c>
    </row>
    <row r="57" spans="1:5">
      <c r="A57" s="458" t="s">
        <v>136</v>
      </c>
      <c r="B57" s="78">
        <v>10.514119837379695</v>
      </c>
      <c r="C57" s="78">
        <v>8.7117542846497145</v>
      </c>
      <c r="D57" s="78">
        <v>10.633931971464829</v>
      </c>
    </row>
    <row r="58" spans="1:5">
      <c r="A58" s="458" t="s">
        <v>137</v>
      </c>
      <c r="B58" s="78">
        <v>16.224249376462911</v>
      </c>
      <c r="C58" s="78">
        <v>14.699225027115817</v>
      </c>
      <c r="D58" s="78">
        <v>15.354178876338146</v>
      </c>
    </row>
    <row r="59" spans="1:5">
      <c r="A59" s="458" t="s">
        <v>294</v>
      </c>
      <c r="B59" s="415">
        <v>6.7166297414802596</v>
      </c>
      <c r="C59" s="415">
        <v>7.6376346118049829</v>
      </c>
      <c r="D59" s="415">
        <v>4.6699563152506522</v>
      </c>
    </row>
    <row r="60" spans="1:5">
      <c r="A60" s="458" t="s">
        <v>139</v>
      </c>
      <c r="B60" s="78">
        <v>99.999999999999986</v>
      </c>
      <c r="C60" s="78">
        <v>99.999973794776025</v>
      </c>
      <c r="D60" s="78">
        <v>100.00000245314027</v>
      </c>
    </row>
    <row r="61" spans="1:5">
      <c r="A61" s="823" t="s">
        <v>598</v>
      </c>
      <c r="B61" s="78">
        <v>100</v>
      </c>
      <c r="C61" s="78">
        <v>100</v>
      </c>
      <c r="D61" s="78">
        <v>100</v>
      </c>
    </row>
    <row r="62" spans="1:5">
      <c r="A62" s="824" t="s">
        <v>599</v>
      </c>
      <c r="B62" s="416">
        <v>100</v>
      </c>
      <c r="C62" s="416">
        <v>100</v>
      </c>
      <c r="D62" s="416">
        <v>100</v>
      </c>
    </row>
    <row r="63" spans="1:5">
      <c r="A63" s="270" t="s">
        <v>240</v>
      </c>
      <c r="B63" s="86"/>
      <c r="C63" s="86"/>
      <c r="D63" s="86"/>
      <c r="E63" s="49"/>
    </row>
    <row r="64" spans="1:5" ht="12.75" customHeight="1">
      <c r="B64" s="526"/>
      <c r="C64" s="526"/>
      <c r="D64" s="526"/>
      <c r="E64" s="526"/>
    </row>
    <row r="65" spans="1:4">
      <c r="A65" s="525" t="s">
        <v>295</v>
      </c>
    </row>
    <row r="80" spans="1:4">
      <c r="B80" s="72"/>
      <c r="C80" s="72"/>
      <c r="D80" s="72"/>
    </row>
    <row r="81" spans="2:4">
      <c r="B81" s="72"/>
      <c r="C81" s="72"/>
      <c r="D81" s="72"/>
    </row>
    <row r="82" spans="2:4">
      <c r="B82" s="72"/>
      <c r="C82" s="72"/>
      <c r="D82" s="72"/>
    </row>
    <row r="83" spans="2:4">
      <c r="B83" s="72"/>
      <c r="C83" s="72"/>
      <c r="D83" s="72"/>
    </row>
    <row r="84" spans="2:4">
      <c r="B84" s="72"/>
      <c r="C84" s="72"/>
      <c r="D84" s="72"/>
    </row>
    <row r="85" spans="2:4">
      <c r="B85" s="72"/>
      <c r="C85" s="72"/>
      <c r="D85" s="72"/>
    </row>
    <row r="86" spans="2:4">
      <c r="B86" s="72"/>
      <c r="C86" s="72"/>
      <c r="D86" s="72"/>
    </row>
    <row r="87" spans="2:4">
      <c r="B87" s="72"/>
      <c r="C87" s="72"/>
      <c r="D87" s="72"/>
    </row>
    <row r="88" spans="2:4">
      <c r="B88" s="72"/>
      <c r="C88" s="72"/>
      <c r="D88" s="72"/>
    </row>
    <row r="89" spans="2:4">
      <c r="B89" s="72"/>
      <c r="C89" s="72"/>
      <c r="D89" s="72"/>
    </row>
    <row r="90" spans="2:4">
      <c r="B90" s="72"/>
      <c r="C90" s="72"/>
      <c r="D90" s="72"/>
    </row>
    <row r="91" spans="2:4">
      <c r="B91" s="72"/>
      <c r="C91" s="72"/>
      <c r="D91" s="72"/>
    </row>
    <row r="92" spans="2:4">
      <c r="B92" s="72"/>
      <c r="C92" s="72"/>
      <c r="D92" s="72"/>
    </row>
    <row r="93" spans="2:4">
      <c r="B93" s="72"/>
      <c r="C93" s="72"/>
      <c r="D93" s="72"/>
    </row>
  </sheetData>
  <mergeCells count="5">
    <mergeCell ref="A27:D27"/>
    <mergeCell ref="A48:D48"/>
    <mergeCell ref="A49:D49"/>
    <mergeCell ref="A47:D47"/>
    <mergeCell ref="A50:D50"/>
  </mergeCells>
  <hyperlinks>
    <hyperlink ref="A45:D45" location="Indice!A1" display="Cuadro 5.2 Porcentaje del presupuesto asignado a entidades destinado a actividades de medio ambiente o recursos naturales"/>
  </hyperlinks>
  <pageMargins left="0.7" right="0.7" top="0.75" bottom="0.75" header="0.3" footer="0.3"/>
  <pageSetup orientation="portrait" r:id="rId1"/>
</worksheet>
</file>

<file path=xl/worksheets/sheet47.xml><?xml version="1.0" encoding="utf-8"?>
<worksheet xmlns="http://schemas.openxmlformats.org/spreadsheetml/2006/main" xmlns:r="http://schemas.openxmlformats.org/officeDocument/2006/relationships">
  <sheetPr>
    <tabColor theme="3" tint="0.39997558519241921"/>
    <pageSetUpPr fitToPage="1"/>
  </sheetPr>
  <dimension ref="A1:I21"/>
  <sheetViews>
    <sheetView showGridLines="0" topLeftCell="A2" workbookViewId="0">
      <selection activeCell="A2" sqref="A2"/>
    </sheetView>
  </sheetViews>
  <sheetFormatPr baseColWidth="10" defaultRowHeight="12.75"/>
  <cols>
    <col min="1" max="1" width="60.5" customWidth="1"/>
    <col min="2" max="2" width="16.1640625" customWidth="1"/>
    <col min="3" max="3" width="16.33203125" customWidth="1"/>
    <col min="4" max="4" width="16.83203125" customWidth="1"/>
  </cols>
  <sheetData>
    <row r="1" spans="1:9" hidden="1">
      <c r="A1" s="7" t="s">
        <v>335</v>
      </c>
      <c r="B1" s="7"/>
      <c r="C1" s="7"/>
      <c r="D1" s="7"/>
      <c r="E1" s="76"/>
      <c r="F1" s="76"/>
      <c r="G1" s="44"/>
      <c r="H1" s="44"/>
      <c r="I1" s="44"/>
    </row>
    <row r="2" spans="1:9">
      <c r="A2" s="54" t="s">
        <v>297</v>
      </c>
      <c r="B2" s="54"/>
      <c r="C2" s="54"/>
      <c r="D2" s="54"/>
      <c r="E2" s="44"/>
      <c r="F2" s="44"/>
      <c r="G2" s="44"/>
      <c r="H2" s="44"/>
      <c r="I2" s="44"/>
    </row>
    <row r="3" spans="1:9" ht="27.75" customHeight="1">
      <c r="A3" s="545" t="s">
        <v>338</v>
      </c>
      <c r="B3" s="545"/>
      <c r="C3" s="545"/>
      <c r="D3" s="545"/>
      <c r="E3" s="44"/>
      <c r="F3" s="44"/>
      <c r="G3" s="44"/>
      <c r="H3" s="44"/>
      <c r="I3" s="44"/>
    </row>
    <row r="4" spans="1:9">
      <c r="A4" s="77" t="s">
        <v>146</v>
      </c>
      <c r="B4" s="77"/>
      <c r="C4" s="77"/>
      <c r="D4" s="77"/>
      <c r="E4" s="44"/>
      <c r="F4" s="44"/>
      <c r="G4" s="44"/>
      <c r="H4" s="44"/>
      <c r="I4" s="44"/>
    </row>
    <row r="5" spans="1:9">
      <c r="A5" s="77" t="s">
        <v>246</v>
      </c>
      <c r="B5" s="77"/>
      <c r="C5" s="77"/>
      <c r="D5" s="77"/>
      <c r="E5" s="44"/>
      <c r="F5" s="44"/>
      <c r="G5" s="44"/>
      <c r="H5" s="44"/>
      <c r="I5" s="44"/>
    </row>
    <row r="6" spans="1:9" s="529" customFormat="1">
      <c r="A6" s="417" t="s">
        <v>28</v>
      </c>
      <c r="B6" s="77"/>
      <c r="C6" s="77"/>
      <c r="D6" s="77"/>
      <c r="E6" s="44"/>
      <c r="F6" s="44"/>
      <c r="G6" s="44"/>
      <c r="H6" s="44"/>
      <c r="I6" s="44"/>
    </row>
    <row r="7" spans="1:9">
      <c r="B7" s="77"/>
      <c r="C7" s="77"/>
      <c r="D7" s="77"/>
      <c r="E7" s="44"/>
      <c r="F7" s="44"/>
      <c r="G7" s="44"/>
      <c r="H7" s="44"/>
      <c r="I7" s="44"/>
    </row>
    <row r="8" spans="1:9">
      <c r="A8" s="784" t="s">
        <v>142</v>
      </c>
      <c r="B8" s="785">
        <v>2004</v>
      </c>
      <c r="C8" s="785">
        <v>2005</v>
      </c>
      <c r="D8" s="785">
        <v>2006</v>
      </c>
      <c r="E8" s="44"/>
      <c r="F8" s="44"/>
      <c r="G8" s="44"/>
      <c r="H8" s="44"/>
      <c r="I8" s="44"/>
    </row>
    <row r="9" spans="1:9" ht="15" customHeight="1">
      <c r="A9" s="458" t="s">
        <v>132</v>
      </c>
      <c r="B9" s="78">
        <v>0.33339837718451742</v>
      </c>
      <c r="C9" s="78">
        <v>0.30903619247360059</v>
      </c>
      <c r="D9" s="78">
        <v>0.29640435425377548</v>
      </c>
      <c r="E9" s="44"/>
      <c r="F9" s="44"/>
      <c r="G9" s="44"/>
      <c r="H9" s="44"/>
      <c r="I9" s="44"/>
    </row>
    <row r="10" spans="1:9" ht="14.25" customHeight="1">
      <c r="A10" s="458" t="s">
        <v>133</v>
      </c>
      <c r="B10" s="78">
        <v>0.37927298498421685</v>
      </c>
      <c r="C10" s="78">
        <v>0.16912926677041445</v>
      </c>
      <c r="D10" s="78">
        <v>3.4870592105284093E-2</v>
      </c>
      <c r="E10" s="44"/>
      <c r="F10" s="44"/>
      <c r="G10" s="44"/>
      <c r="H10" s="44"/>
      <c r="I10" s="44"/>
    </row>
    <row r="11" spans="1:9" ht="13.5" customHeight="1">
      <c r="A11" s="458" t="s">
        <v>134</v>
      </c>
      <c r="B11" s="78">
        <v>6.3624536812193684</v>
      </c>
      <c r="C11" s="78">
        <v>6.2836681063767941</v>
      </c>
      <c r="D11" s="78">
        <v>5.539164722553684</v>
      </c>
      <c r="E11" s="44"/>
      <c r="F11" s="44"/>
      <c r="G11" s="44"/>
      <c r="H11" s="44"/>
      <c r="I11" s="44"/>
    </row>
    <row r="12" spans="1:9">
      <c r="A12" s="268" t="s">
        <v>135</v>
      </c>
      <c r="B12" s="78">
        <v>0.67851533590654223</v>
      </c>
      <c r="C12" s="78">
        <v>0.64861311105459662</v>
      </c>
      <c r="D12" s="415">
        <v>0.440651282645452</v>
      </c>
      <c r="E12" s="44"/>
      <c r="F12" s="44"/>
      <c r="G12" s="44"/>
      <c r="H12" s="44"/>
      <c r="I12" s="44"/>
    </row>
    <row r="13" spans="1:9" ht="13.5" customHeight="1">
      <c r="A13" s="458" t="s">
        <v>136</v>
      </c>
      <c r="B13" s="78">
        <v>10.514119837379695</v>
      </c>
      <c r="C13" s="78">
        <v>8.7117542846497145</v>
      </c>
      <c r="D13" s="415">
        <v>10.633931971464829</v>
      </c>
      <c r="E13" s="44"/>
      <c r="F13" s="44"/>
      <c r="G13" s="44"/>
      <c r="H13" s="44"/>
      <c r="I13" s="44"/>
    </row>
    <row r="14" spans="1:9" ht="12.75" customHeight="1">
      <c r="A14" s="458" t="s">
        <v>137</v>
      </c>
      <c r="B14" s="78">
        <v>16.224249376462911</v>
      </c>
      <c r="C14" s="78">
        <v>14.699225027115817</v>
      </c>
      <c r="D14" s="415">
        <v>15.354178876338146</v>
      </c>
      <c r="E14" s="44"/>
      <c r="F14" s="44"/>
      <c r="G14" s="44"/>
      <c r="H14" s="44"/>
      <c r="I14" s="44"/>
    </row>
    <row r="15" spans="1:9">
      <c r="A15" s="458" t="s">
        <v>294</v>
      </c>
      <c r="B15" s="415">
        <v>6.8374636539352229</v>
      </c>
      <c r="C15" s="415">
        <v>10.414502134194377</v>
      </c>
      <c r="D15" s="415">
        <v>5.8928801203551568</v>
      </c>
      <c r="E15" s="44"/>
      <c r="F15" s="44"/>
      <c r="G15" s="44"/>
      <c r="H15" s="44"/>
      <c r="I15" s="44"/>
    </row>
    <row r="16" spans="1:9" ht="14.25" customHeight="1">
      <c r="A16" s="458" t="s">
        <v>139</v>
      </c>
      <c r="B16" s="80">
        <v>99.999999999999986</v>
      </c>
      <c r="C16" s="80">
        <v>99.999973794776025</v>
      </c>
      <c r="D16" s="80">
        <v>100.00000245314027</v>
      </c>
      <c r="E16" s="44"/>
      <c r="F16" s="44"/>
      <c r="G16" s="44"/>
      <c r="H16" s="44"/>
      <c r="I16" s="44"/>
    </row>
    <row r="17" spans="1:9">
      <c r="A17" s="823" t="s">
        <v>598</v>
      </c>
      <c r="B17" s="80">
        <v>100</v>
      </c>
      <c r="C17" s="80">
        <v>100</v>
      </c>
      <c r="D17" s="80">
        <v>99.947397559229046</v>
      </c>
      <c r="E17" s="44"/>
      <c r="F17" s="44"/>
      <c r="G17" s="44"/>
      <c r="H17" s="44"/>
      <c r="I17" s="44"/>
    </row>
    <row r="18" spans="1:9">
      <c r="A18" s="824" t="s">
        <v>599</v>
      </c>
      <c r="B18" s="81">
        <v>100</v>
      </c>
      <c r="C18" s="81">
        <v>100</v>
      </c>
      <c r="D18" s="81">
        <v>100</v>
      </c>
      <c r="E18" s="44"/>
      <c r="F18" s="44"/>
      <c r="G18" s="44"/>
      <c r="H18" s="44"/>
      <c r="I18" s="44"/>
    </row>
    <row r="19" spans="1:9">
      <c r="A19" s="270" t="s">
        <v>240</v>
      </c>
      <c r="B19" s="86"/>
      <c r="C19" s="86"/>
      <c r="D19" s="86"/>
      <c r="E19" s="49"/>
    </row>
    <row r="20" spans="1:9" ht="13.5" customHeight="1">
      <c r="B20" s="526"/>
      <c r="C20" s="526"/>
      <c r="D20" s="526"/>
      <c r="E20" s="526"/>
    </row>
    <row r="21" spans="1:9">
      <c r="A21" s="525" t="s">
        <v>295</v>
      </c>
    </row>
  </sheetData>
  <mergeCells count="1">
    <mergeCell ref="A3:D3"/>
  </mergeCells>
  <hyperlinks>
    <hyperlink ref="A1:D1" location="Indice!A1" display="Cuadro 5.2 Porcentaje del presupuesto asignado a entidades destinado a actividades de medio ambiente o recursos naturales"/>
  </hyperlinks>
  <pageMargins left="0.7" right="0.7" top="0.75" bottom="0.75" header="0.3" footer="0.3"/>
  <pageSetup orientation="portrait" r:id="rId1"/>
</worksheet>
</file>

<file path=xl/worksheets/sheet48.xml><?xml version="1.0" encoding="utf-8"?>
<worksheet xmlns="http://schemas.openxmlformats.org/spreadsheetml/2006/main" xmlns:r="http://schemas.openxmlformats.org/officeDocument/2006/relationships">
  <sheetPr>
    <pageSetUpPr fitToPage="1"/>
  </sheetPr>
  <dimension ref="A1:M55"/>
  <sheetViews>
    <sheetView showGridLines="0" topLeftCell="A3" workbookViewId="0">
      <selection activeCell="A3" sqref="A3:J3"/>
    </sheetView>
  </sheetViews>
  <sheetFormatPr baseColWidth="10" defaultRowHeight="12.75"/>
  <cols>
    <col min="1" max="1" width="1.83203125" customWidth="1"/>
    <col min="2" max="2" width="1.33203125" customWidth="1"/>
    <col min="3" max="3" width="0.83203125" customWidth="1"/>
    <col min="4" max="4" width="49" customWidth="1"/>
    <col min="5" max="5" width="12.33203125" customWidth="1"/>
    <col min="6" max="6" width="12.1640625" customWidth="1"/>
    <col min="7" max="7" width="12.33203125" customWidth="1"/>
    <col min="8" max="8" width="12.1640625" customWidth="1"/>
    <col min="9" max="9" width="12.83203125" customWidth="1"/>
    <col min="10" max="10" width="12.1640625" customWidth="1"/>
    <col min="11" max="11" width="13.83203125" customWidth="1"/>
    <col min="12" max="12" width="13.33203125" customWidth="1"/>
    <col min="13" max="13" width="13.5" customWidth="1"/>
  </cols>
  <sheetData>
    <row r="1" spans="1:13" ht="15" hidden="1">
      <c r="A1" s="7" t="s">
        <v>465</v>
      </c>
      <c r="K1" s="422"/>
      <c r="L1" s="422"/>
      <c r="M1" s="422"/>
    </row>
    <row r="2" spans="1:13" hidden="1">
      <c r="K2" s="423"/>
      <c r="L2" s="423"/>
      <c r="M2" s="423"/>
    </row>
    <row r="3" spans="1:13">
      <c r="A3" s="563" t="s">
        <v>379</v>
      </c>
      <c r="B3" s="563"/>
      <c r="C3" s="563"/>
      <c r="D3" s="563"/>
      <c r="E3" s="563"/>
      <c r="F3" s="563"/>
      <c r="G3" s="563"/>
      <c r="H3" s="563"/>
      <c r="I3" s="563"/>
      <c r="J3" s="563"/>
      <c r="K3" s="423"/>
      <c r="L3" s="423"/>
      <c r="M3" s="423"/>
    </row>
    <row r="4" spans="1:13" ht="16.5">
      <c r="A4" s="537" t="s">
        <v>470</v>
      </c>
      <c r="B4" s="537"/>
      <c r="C4" s="537"/>
      <c r="D4" s="537"/>
      <c r="E4" s="537"/>
      <c r="F4" s="537"/>
      <c r="G4" s="537"/>
      <c r="H4" s="537"/>
      <c r="I4" s="537"/>
      <c r="J4" s="537"/>
      <c r="K4" s="444"/>
      <c r="L4" s="444"/>
      <c r="M4" s="444"/>
    </row>
    <row r="5" spans="1:13">
      <c r="D5" s="564" t="s">
        <v>154</v>
      </c>
      <c r="E5" s="564"/>
      <c r="F5" s="564"/>
      <c r="G5" s="564"/>
      <c r="H5" s="564"/>
      <c r="I5" s="564"/>
      <c r="J5" s="564"/>
      <c r="K5" s="35"/>
      <c r="L5" s="35"/>
      <c r="M5" s="35"/>
    </row>
    <row r="6" spans="1:13" s="529" customFormat="1">
      <c r="D6" s="565" t="s">
        <v>377</v>
      </c>
      <c r="E6" s="565"/>
      <c r="F6" s="565"/>
      <c r="G6" s="565"/>
      <c r="H6" s="565"/>
      <c r="I6" s="565"/>
      <c r="J6" s="565"/>
      <c r="K6" s="35"/>
      <c r="L6" s="35"/>
      <c r="M6" s="35"/>
    </row>
    <row r="7" spans="1:13" ht="13.5">
      <c r="K7" s="445"/>
      <c r="L7" s="445"/>
      <c r="M7" s="445"/>
    </row>
    <row r="8" spans="1:13" ht="13.5">
      <c r="A8" s="588" t="s">
        <v>19</v>
      </c>
      <c r="B8" s="588"/>
      <c r="C8" s="588"/>
      <c r="D8" s="588"/>
      <c r="E8" s="620" t="s">
        <v>34</v>
      </c>
      <c r="F8" s="620"/>
      <c r="G8" s="620"/>
      <c r="H8" s="620"/>
      <c r="I8" s="620"/>
      <c r="J8" s="620"/>
      <c r="K8" s="427"/>
      <c r="L8" s="427"/>
      <c r="M8" s="427"/>
    </row>
    <row r="9" spans="1:13" ht="13.5">
      <c r="A9" s="589"/>
      <c r="B9" s="589"/>
      <c r="C9" s="589"/>
      <c r="D9" s="589"/>
      <c r="E9" s="630">
        <v>2001</v>
      </c>
      <c r="F9" s="630">
        <v>2002</v>
      </c>
      <c r="G9" s="630">
        <v>2003</v>
      </c>
      <c r="H9" s="630">
        <v>2004</v>
      </c>
      <c r="I9" s="630">
        <v>2005</v>
      </c>
      <c r="J9" s="630">
        <v>2006</v>
      </c>
      <c r="K9" s="430"/>
      <c r="L9" s="430"/>
      <c r="M9" s="430"/>
    </row>
    <row r="10" spans="1:13" ht="13.5">
      <c r="A10" s="424" t="s">
        <v>579</v>
      </c>
      <c r="B10" s="435"/>
      <c r="C10" s="425"/>
      <c r="D10" s="435"/>
      <c r="E10" s="436">
        <v>2129887063.3997128</v>
      </c>
      <c r="F10" s="436">
        <v>2237832258.6742277</v>
      </c>
      <c r="G10" s="436">
        <v>2270872749.484478</v>
      </c>
      <c r="H10" s="436">
        <v>2525049741.083569</v>
      </c>
      <c r="I10" s="436">
        <v>1408089902.5096774</v>
      </c>
      <c r="J10" s="436">
        <v>2961141778.202477</v>
      </c>
      <c r="K10" s="430"/>
      <c r="L10" s="430"/>
      <c r="M10" s="430"/>
    </row>
    <row r="11" spans="1:13" ht="13.5">
      <c r="A11" s="437"/>
      <c r="B11" s="424" t="s">
        <v>339</v>
      </c>
      <c r="C11" s="425"/>
      <c r="D11" s="426"/>
      <c r="E11" s="436">
        <v>2111772381.24</v>
      </c>
      <c r="F11" s="436">
        <v>2217528679.21</v>
      </c>
      <c r="G11" s="436">
        <v>2247045018.6900001</v>
      </c>
      <c r="H11" s="436">
        <v>2498321296.9200001</v>
      </c>
      <c r="I11" s="436">
        <v>1384416117.53</v>
      </c>
      <c r="J11" s="436">
        <v>2935006799.5599999</v>
      </c>
      <c r="K11" s="430"/>
      <c r="L11" s="430"/>
      <c r="M11" s="430"/>
    </row>
    <row r="12" spans="1:13" ht="13.5">
      <c r="A12" s="437"/>
      <c r="B12" s="426"/>
      <c r="C12" s="424" t="s">
        <v>340</v>
      </c>
      <c r="D12" s="426"/>
      <c r="E12" s="438">
        <v>1899284640.1400001</v>
      </c>
      <c r="F12" s="438">
        <v>1973465679.4300001</v>
      </c>
      <c r="G12" s="438">
        <v>1995979309.3300002</v>
      </c>
      <c r="H12" s="438">
        <v>2247915230.29</v>
      </c>
      <c r="I12" s="438">
        <v>1076500258.95</v>
      </c>
      <c r="J12" s="438">
        <v>2612077824.0299997</v>
      </c>
      <c r="K12" s="430"/>
      <c r="L12" s="430"/>
      <c r="M12" s="430"/>
    </row>
    <row r="13" spans="1:13" ht="16.5">
      <c r="A13" s="439"/>
      <c r="B13" s="428"/>
      <c r="C13" s="426"/>
      <c r="D13" s="429" t="s">
        <v>341</v>
      </c>
      <c r="E13" s="438">
        <v>656489319.72000003</v>
      </c>
      <c r="F13" s="438">
        <v>622028566.08000004</v>
      </c>
      <c r="G13" s="438">
        <v>706388064.63</v>
      </c>
      <c r="H13" s="438">
        <v>857550412.42999995</v>
      </c>
      <c r="I13" s="438">
        <v>208119784.38</v>
      </c>
      <c r="J13" s="438">
        <v>957714943.13</v>
      </c>
      <c r="K13" s="430"/>
      <c r="L13" s="430"/>
      <c r="M13" s="430"/>
    </row>
    <row r="14" spans="1:13" ht="16.5">
      <c r="A14" s="439"/>
      <c r="B14" s="428"/>
      <c r="C14" s="426"/>
      <c r="D14" s="429" t="s">
        <v>342</v>
      </c>
      <c r="E14" s="438">
        <v>364596870.25999999</v>
      </c>
      <c r="F14" s="438">
        <v>333215890.77999997</v>
      </c>
      <c r="G14" s="438">
        <v>348631315.56</v>
      </c>
      <c r="H14" s="438">
        <v>452843809.94999999</v>
      </c>
      <c r="I14" s="438">
        <v>100310767.73999999</v>
      </c>
      <c r="J14" s="438">
        <v>472985533.44</v>
      </c>
      <c r="K14" s="430"/>
      <c r="L14" s="430"/>
      <c r="M14" s="430"/>
    </row>
    <row r="15" spans="1:13" ht="16.5">
      <c r="A15" s="439"/>
      <c r="B15" s="428"/>
      <c r="C15" s="426"/>
      <c r="D15" s="429" t="s">
        <v>600</v>
      </c>
      <c r="E15" s="438">
        <v>409009497.5</v>
      </c>
      <c r="F15" s="438">
        <v>402092011.89999998</v>
      </c>
      <c r="G15" s="438">
        <v>342403989.12</v>
      </c>
      <c r="H15" s="438">
        <v>411089353.13</v>
      </c>
      <c r="I15" s="438">
        <v>160957425.15000001</v>
      </c>
      <c r="J15" s="438">
        <v>479401103.83999997</v>
      </c>
      <c r="K15" s="430"/>
      <c r="L15" s="430"/>
      <c r="M15" s="430"/>
    </row>
    <row r="16" spans="1:13" ht="16.5">
      <c r="A16" s="439"/>
      <c r="B16" s="428"/>
      <c r="C16" s="426"/>
      <c r="D16" s="429" t="s">
        <v>343</v>
      </c>
      <c r="E16" s="438">
        <v>5352283.66</v>
      </c>
      <c r="F16" s="438">
        <v>4591642.5</v>
      </c>
      <c r="G16" s="438">
        <v>1023185.72</v>
      </c>
      <c r="H16" s="438">
        <v>853.22</v>
      </c>
      <c r="I16" s="438">
        <v>2404.2199999999998</v>
      </c>
      <c r="J16" s="843" t="s">
        <v>654</v>
      </c>
      <c r="K16" s="430"/>
      <c r="L16" s="430"/>
      <c r="M16" s="430"/>
    </row>
    <row r="17" spans="1:13" ht="16.5">
      <c r="A17" s="439"/>
      <c r="B17" s="428"/>
      <c r="C17" s="426"/>
      <c r="D17" s="429" t="s">
        <v>344</v>
      </c>
      <c r="E17" s="438">
        <v>1963266.05</v>
      </c>
      <c r="F17" s="438">
        <v>3009956.52</v>
      </c>
      <c r="G17" s="438">
        <v>3540558.1</v>
      </c>
      <c r="H17" s="438">
        <v>3656631.07</v>
      </c>
      <c r="I17" s="438">
        <v>575210.66</v>
      </c>
      <c r="J17" s="438">
        <v>2723537.56</v>
      </c>
      <c r="K17" s="430"/>
      <c r="L17" s="430"/>
      <c r="M17" s="430"/>
    </row>
    <row r="18" spans="1:13" ht="16.5">
      <c r="A18" s="439"/>
      <c r="B18" s="428"/>
      <c r="C18" s="426"/>
      <c r="D18" s="429" t="s">
        <v>345</v>
      </c>
      <c r="E18" s="438">
        <v>294573.90999999997</v>
      </c>
      <c r="F18" s="438">
        <v>4132870.05</v>
      </c>
      <c r="G18" s="843" t="s">
        <v>654</v>
      </c>
      <c r="H18" s="843" t="s">
        <v>654</v>
      </c>
      <c r="I18" s="843" t="s">
        <v>654</v>
      </c>
      <c r="J18" s="843" t="s">
        <v>654</v>
      </c>
      <c r="K18" s="430"/>
      <c r="L18" s="430"/>
      <c r="M18" s="430"/>
    </row>
    <row r="19" spans="1:13" ht="16.5">
      <c r="A19" s="439"/>
      <c r="B19" s="428"/>
      <c r="C19" s="426"/>
      <c r="D19" s="429" t="s">
        <v>346</v>
      </c>
      <c r="E19" s="438">
        <v>5726973.54</v>
      </c>
      <c r="F19" s="438">
        <v>6811183.4000000004</v>
      </c>
      <c r="G19" s="438">
        <v>5942990.5</v>
      </c>
      <c r="H19" s="438">
        <v>9993239.9199999999</v>
      </c>
      <c r="I19" s="438">
        <v>5017408.54</v>
      </c>
      <c r="J19" s="438">
        <v>8806304.9000000004</v>
      </c>
      <c r="K19" s="430"/>
      <c r="L19" s="430"/>
      <c r="M19" s="430"/>
    </row>
    <row r="20" spans="1:13" ht="16.5">
      <c r="A20" s="439"/>
      <c r="B20" s="428"/>
      <c r="C20" s="426"/>
      <c r="D20" s="429" t="s">
        <v>347</v>
      </c>
      <c r="E20" s="438">
        <v>21644.07</v>
      </c>
      <c r="F20" s="438">
        <v>33447.800000000003</v>
      </c>
      <c r="G20" s="438">
        <v>29827</v>
      </c>
      <c r="H20" s="438">
        <v>11261</v>
      </c>
      <c r="I20" s="438">
        <v>30777</v>
      </c>
      <c r="J20" s="438">
        <v>41964</v>
      </c>
      <c r="K20" s="430"/>
      <c r="L20" s="430"/>
      <c r="M20" s="430"/>
    </row>
    <row r="21" spans="1:13" ht="16.5">
      <c r="A21" s="439"/>
      <c r="B21" s="428"/>
      <c r="C21" s="426"/>
      <c r="D21" s="429" t="s">
        <v>348</v>
      </c>
      <c r="E21" s="438">
        <v>96885386.670000002</v>
      </c>
      <c r="F21" s="438">
        <v>143976695.09</v>
      </c>
      <c r="G21" s="438">
        <v>64774760.689999998</v>
      </c>
      <c r="H21" s="843" t="s">
        <v>654</v>
      </c>
      <c r="I21" s="843" t="s">
        <v>654</v>
      </c>
      <c r="J21" s="843" t="s">
        <v>654</v>
      </c>
      <c r="K21" s="430"/>
      <c r="L21" s="430"/>
      <c r="M21" s="430"/>
    </row>
    <row r="22" spans="1:13" ht="16.5">
      <c r="A22" s="439"/>
      <c r="B22" s="428"/>
      <c r="C22" s="426"/>
      <c r="D22" s="429" t="s">
        <v>349</v>
      </c>
      <c r="E22" s="438">
        <v>5565471.5099999998</v>
      </c>
      <c r="F22" s="438">
        <v>6770065.9100000001</v>
      </c>
      <c r="G22" s="438">
        <v>12324264.84</v>
      </c>
      <c r="H22" s="438">
        <v>17040726.140000001</v>
      </c>
      <c r="I22" s="438">
        <v>9863702.7699999996</v>
      </c>
      <c r="J22" s="438">
        <v>18346327.719999999</v>
      </c>
      <c r="K22" s="430"/>
      <c r="L22" s="430"/>
      <c r="M22" s="430"/>
    </row>
    <row r="23" spans="1:13" ht="16.5">
      <c r="A23" s="439"/>
      <c r="B23" s="428"/>
      <c r="C23" s="426"/>
      <c r="D23" s="429" t="s">
        <v>350</v>
      </c>
      <c r="E23" s="438">
        <v>1226894.6000000001</v>
      </c>
      <c r="F23" s="438">
        <v>264935.57</v>
      </c>
      <c r="G23" s="438">
        <v>398869.68</v>
      </c>
      <c r="H23" s="438">
        <v>423889.15</v>
      </c>
      <c r="I23" s="438">
        <v>244937.82</v>
      </c>
      <c r="J23" s="438">
        <v>308772.53999999998</v>
      </c>
      <c r="K23" s="430"/>
      <c r="L23" s="430"/>
      <c r="M23" s="430"/>
    </row>
    <row r="24" spans="1:13" ht="16.5">
      <c r="A24" s="439"/>
      <c r="B24" s="428"/>
      <c r="C24" s="426"/>
      <c r="D24" s="429" t="s">
        <v>351</v>
      </c>
      <c r="E24" s="438">
        <v>67513462.620000005</v>
      </c>
      <c r="F24" s="438">
        <v>69220467.140000001</v>
      </c>
      <c r="G24" s="438">
        <v>4331073.42</v>
      </c>
      <c r="H24" s="438">
        <v>1068655.3</v>
      </c>
      <c r="I24" s="438">
        <v>52584.99</v>
      </c>
      <c r="J24" s="438">
        <v>161944.79</v>
      </c>
      <c r="K24" s="430"/>
      <c r="L24" s="430"/>
      <c r="M24" s="430"/>
    </row>
    <row r="25" spans="1:13" ht="16.5">
      <c r="A25" s="439"/>
      <c r="B25" s="428"/>
      <c r="C25" s="426"/>
      <c r="D25" s="429" t="s">
        <v>352</v>
      </c>
      <c r="E25" s="438">
        <v>319117.06</v>
      </c>
      <c r="F25" s="438">
        <v>354594.92</v>
      </c>
      <c r="G25" s="438">
        <v>274073.48</v>
      </c>
      <c r="H25" s="438">
        <v>127517.88</v>
      </c>
      <c r="I25" s="843" t="s">
        <v>654</v>
      </c>
      <c r="J25" s="843" t="s">
        <v>654</v>
      </c>
      <c r="K25" s="427"/>
      <c r="L25" s="427"/>
      <c r="M25" s="427"/>
    </row>
    <row r="26" spans="1:13" ht="16.5">
      <c r="A26" s="439"/>
      <c r="B26" s="428"/>
      <c r="C26" s="426"/>
      <c r="D26" s="429" t="s">
        <v>353</v>
      </c>
      <c r="E26" s="438">
        <v>20918.97</v>
      </c>
      <c r="F26" s="438">
        <v>1096.22</v>
      </c>
      <c r="G26" s="843" t="s">
        <v>654</v>
      </c>
      <c r="H26" s="843" t="s">
        <v>654</v>
      </c>
      <c r="I26" s="438">
        <v>865</v>
      </c>
      <c r="J26" s="843" t="s">
        <v>654</v>
      </c>
      <c r="K26" s="430"/>
      <c r="L26" s="430"/>
      <c r="M26" s="430"/>
    </row>
    <row r="27" spans="1:13" ht="16.5">
      <c r="A27" s="439"/>
      <c r="B27" s="428"/>
      <c r="C27" s="426"/>
      <c r="D27" s="429" t="s">
        <v>354</v>
      </c>
      <c r="E27" s="438">
        <v>50683321.200000003</v>
      </c>
      <c r="F27" s="438">
        <v>66946664.990000002</v>
      </c>
      <c r="G27" s="438">
        <v>98866838.370000005</v>
      </c>
      <c r="H27" s="438">
        <v>96465352.799999997</v>
      </c>
      <c r="I27" s="438">
        <v>109439867.65000001</v>
      </c>
      <c r="J27" s="438">
        <v>105123054.86</v>
      </c>
      <c r="K27" s="430"/>
      <c r="L27" s="430"/>
      <c r="M27" s="430"/>
    </row>
    <row r="28" spans="1:13" ht="16.5">
      <c r="A28" s="439"/>
      <c r="B28" s="428"/>
      <c r="C28" s="426"/>
      <c r="D28" s="429" t="s">
        <v>355</v>
      </c>
      <c r="E28" s="438">
        <v>233615638.80000001</v>
      </c>
      <c r="F28" s="438">
        <v>310015590.56</v>
      </c>
      <c r="G28" s="438">
        <v>407049498.22000003</v>
      </c>
      <c r="H28" s="438">
        <v>397643528.30000001</v>
      </c>
      <c r="I28" s="438">
        <v>481884523.02999997</v>
      </c>
      <c r="J28" s="438">
        <v>566464337.25</v>
      </c>
      <c r="K28" s="430"/>
      <c r="L28" s="430"/>
      <c r="M28" s="430"/>
    </row>
    <row r="29" spans="1:13" ht="16.5">
      <c r="A29" s="439"/>
      <c r="B29" s="428"/>
      <c r="C29" s="424" t="s">
        <v>356</v>
      </c>
      <c r="D29" s="425"/>
      <c r="E29" s="438">
        <v>212487741.09999999</v>
      </c>
      <c r="F29" s="438">
        <v>244062999.78</v>
      </c>
      <c r="G29" s="438">
        <v>251065709.35999998</v>
      </c>
      <c r="H29" s="438">
        <v>250406066.63</v>
      </c>
      <c r="I29" s="438">
        <v>307915858.5800001</v>
      </c>
      <c r="J29" s="438">
        <v>322928975.52999997</v>
      </c>
      <c r="K29" s="430"/>
      <c r="L29" s="430"/>
      <c r="M29" s="430"/>
    </row>
    <row r="30" spans="1:13" ht="16.5">
      <c r="A30" s="439"/>
      <c r="B30" s="428"/>
      <c r="C30" s="426"/>
      <c r="D30" s="429" t="s">
        <v>357</v>
      </c>
      <c r="E30" s="438">
        <v>211294882.34</v>
      </c>
      <c r="F30" s="438">
        <v>240283204.34</v>
      </c>
      <c r="G30" s="438">
        <v>246768136.16999999</v>
      </c>
      <c r="H30" s="438">
        <v>246612935.47999999</v>
      </c>
      <c r="I30" s="438">
        <v>304491682.72000003</v>
      </c>
      <c r="J30" s="438">
        <v>319681412.89999998</v>
      </c>
      <c r="K30" s="445"/>
      <c r="L30" s="445"/>
      <c r="M30" s="445"/>
    </row>
    <row r="31" spans="1:13" ht="16.5">
      <c r="A31" s="439"/>
      <c r="B31" s="428"/>
      <c r="C31" s="426"/>
      <c r="D31" s="429" t="s">
        <v>358</v>
      </c>
      <c r="E31" s="438">
        <v>19251.009999999998</v>
      </c>
      <c r="F31" s="438">
        <v>366522.35</v>
      </c>
      <c r="G31" s="438">
        <v>225897.12</v>
      </c>
      <c r="H31" s="438">
        <v>226550</v>
      </c>
      <c r="I31" s="438">
        <v>202010.6</v>
      </c>
      <c r="J31" s="438">
        <v>40959.72</v>
      </c>
      <c r="K31" s="427"/>
      <c r="L31" s="427"/>
      <c r="M31" s="427"/>
    </row>
    <row r="32" spans="1:13" ht="16.5">
      <c r="A32" s="439"/>
      <c r="B32" s="428"/>
      <c r="C32" s="426"/>
      <c r="D32" s="429" t="s">
        <v>359</v>
      </c>
      <c r="E32" s="438">
        <v>796716.88</v>
      </c>
      <c r="F32" s="438">
        <v>980087.54</v>
      </c>
      <c r="G32" s="438">
        <v>1155688.32</v>
      </c>
      <c r="H32" s="438">
        <v>1129216.3400000001</v>
      </c>
      <c r="I32" s="438">
        <v>822758.6</v>
      </c>
      <c r="J32" s="438">
        <v>829667.03</v>
      </c>
      <c r="K32" s="430"/>
      <c r="L32" s="430"/>
      <c r="M32" s="430"/>
    </row>
    <row r="33" spans="1:13" ht="16.5">
      <c r="A33" s="439"/>
      <c r="B33" s="428"/>
      <c r="C33" s="426"/>
      <c r="D33" s="429" t="s">
        <v>360</v>
      </c>
      <c r="E33" s="438">
        <v>376890.87</v>
      </c>
      <c r="F33" s="438">
        <v>2433185.5499999998</v>
      </c>
      <c r="G33" s="438">
        <v>2915987.75</v>
      </c>
      <c r="H33" s="438">
        <v>2437364.81</v>
      </c>
      <c r="I33" s="438">
        <v>2399406.66</v>
      </c>
      <c r="J33" s="438">
        <v>2376935.88</v>
      </c>
      <c r="K33" s="430"/>
      <c r="L33" s="430"/>
      <c r="M33" s="430"/>
    </row>
    <row r="34" spans="1:13" ht="16.5">
      <c r="A34" s="440"/>
      <c r="B34" s="157" t="s">
        <v>361</v>
      </c>
      <c r="C34" s="425"/>
      <c r="D34" s="425"/>
      <c r="E34" s="436">
        <v>17977266.330000002</v>
      </c>
      <c r="F34" s="436">
        <v>20164230.41</v>
      </c>
      <c r="G34" s="436">
        <v>23652747.839999996</v>
      </c>
      <c r="H34" s="436">
        <v>26551578.250000004</v>
      </c>
      <c r="I34" s="436">
        <v>23590087.800000004</v>
      </c>
      <c r="J34" s="436">
        <v>26041226.220000003</v>
      </c>
      <c r="K34" s="427"/>
      <c r="L34" s="427"/>
      <c r="M34" s="427"/>
    </row>
    <row r="35" spans="1:13" ht="16.5">
      <c r="A35" s="439"/>
      <c r="B35" s="428"/>
      <c r="C35" s="424" t="s">
        <v>362</v>
      </c>
      <c r="D35" s="425"/>
      <c r="E35" s="438">
        <v>9219446.8800000008</v>
      </c>
      <c r="F35" s="438">
        <v>12489335.48</v>
      </c>
      <c r="G35" s="438">
        <v>12513551.459999999</v>
      </c>
      <c r="H35" s="438">
        <v>13579418.48</v>
      </c>
      <c r="I35" s="438">
        <v>13342746.34</v>
      </c>
      <c r="J35" s="438">
        <v>14812629.92</v>
      </c>
      <c r="K35" s="430"/>
      <c r="L35" s="430"/>
      <c r="M35" s="430"/>
    </row>
    <row r="36" spans="1:13" ht="16.5">
      <c r="A36" s="439"/>
      <c r="B36" s="428"/>
      <c r="C36" s="426"/>
      <c r="D36" s="429" t="s">
        <v>363</v>
      </c>
      <c r="E36" s="438">
        <v>5510338.2800000003</v>
      </c>
      <c r="F36" s="438">
        <v>7036418.5599999996</v>
      </c>
      <c r="G36" s="438">
        <v>8441968.5999999996</v>
      </c>
      <c r="H36" s="438">
        <v>8857868.3499999996</v>
      </c>
      <c r="I36" s="438">
        <v>9632050.5</v>
      </c>
      <c r="J36" s="438">
        <v>10259652.35</v>
      </c>
      <c r="K36" s="430"/>
      <c r="L36" s="430"/>
      <c r="M36" s="430"/>
    </row>
    <row r="37" spans="1:13" ht="31.5" customHeight="1">
      <c r="A37" s="439"/>
      <c r="B37" s="428"/>
      <c r="C37" s="426"/>
      <c r="D37" s="826" t="s">
        <v>601</v>
      </c>
      <c r="E37" s="844">
        <v>3709108.6</v>
      </c>
      <c r="F37" s="844">
        <v>5452916.9199999999</v>
      </c>
      <c r="G37" s="844">
        <v>4071582.86</v>
      </c>
      <c r="H37" s="844">
        <v>4721550.13</v>
      </c>
      <c r="I37" s="844">
        <v>3710695.84</v>
      </c>
      <c r="J37" s="844">
        <v>4552977.57</v>
      </c>
      <c r="K37" s="427"/>
      <c r="L37" s="427"/>
      <c r="M37" s="427"/>
    </row>
    <row r="38" spans="1:13" ht="16.5">
      <c r="A38" s="439"/>
      <c r="B38" s="428"/>
      <c r="C38" s="424" t="s">
        <v>364</v>
      </c>
      <c r="D38" s="425"/>
      <c r="E38" s="438">
        <v>2994831.09</v>
      </c>
      <c r="F38" s="438">
        <v>2357513.62</v>
      </c>
      <c r="G38" s="438">
        <v>3455452.82</v>
      </c>
      <c r="H38" s="438">
        <v>7363004.29</v>
      </c>
      <c r="I38" s="438">
        <v>7313878.2799999993</v>
      </c>
      <c r="J38" s="438">
        <v>6375479.1799999997</v>
      </c>
      <c r="K38" s="430"/>
      <c r="L38" s="430"/>
      <c r="M38" s="430"/>
    </row>
    <row r="39" spans="1:13" ht="16.5">
      <c r="A39" s="439"/>
      <c r="B39" s="428"/>
      <c r="C39" s="426"/>
      <c r="D39" s="429" t="s">
        <v>365</v>
      </c>
      <c r="E39" s="438">
        <v>2994831.09</v>
      </c>
      <c r="F39" s="438">
        <v>2357513.62</v>
      </c>
      <c r="G39" s="438">
        <v>3455452.82</v>
      </c>
      <c r="H39" s="438">
        <v>2957725.24</v>
      </c>
      <c r="I39" s="438">
        <v>2438913.98</v>
      </c>
      <c r="J39" s="438">
        <v>2038477.34</v>
      </c>
      <c r="K39" s="430"/>
      <c r="L39" s="430"/>
      <c r="M39" s="430"/>
    </row>
    <row r="40" spans="1:13" ht="16.5">
      <c r="A40" s="439"/>
      <c r="B40" s="428"/>
      <c r="C40" s="426"/>
      <c r="D40" s="429" t="s">
        <v>364</v>
      </c>
      <c r="E40" s="438"/>
      <c r="F40" s="438"/>
      <c r="G40" s="438"/>
      <c r="H40" s="438">
        <v>4405279.05</v>
      </c>
      <c r="I40" s="438">
        <v>4874964.3</v>
      </c>
      <c r="J40" s="438">
        <v>4337001.84</v>
      </c>
      <c r="K40" s="430"/>
      <c r="L40" s="430"/>
      <c r="M40" s="430"/>
    </row>
    <row r="41" spans="1:13" ht="16.5">
      <c r="A41" s="439"/>
      <c r="B41" s="428"/>
      <c r="C41" s="424" t="s">
        <v>366</v>
      </c>
      <c r="D41" s="425"/>
      <c r="E41" s="438">
        <v>5762988.3600000003</v>
      </c>
      <c r="F41" s="438">
        <v>5302381.3100000005</v>
      </c>
      <c r="G41" s="438">
        <v>7576743.5599999996</v>
      </c>
      <c r="H41" s="438">
        <v>5609155.4800000004</v>
      </c>
      <c r="I41" s="438">
        <v>2833963.18</v>
      </c>
      <c r="J41" s="438">
        <v>4695760.9000000004</v>
      </c>
      <c r="K41" s="430"/>
      <c r="L41" s="430"/>
      <c r="M41" s="430"/>
    </row>
    <row r="42" spans="1:13" ht="16.5">
      <c r="A42" s="439"/>
      <c r="B42" s="428"/>
      <c r="C42" s="426"/>
      <c r="D42" s="429" t="s">
        <v>367</v>
      </c>
      <c r="E42" s="843" t="s">
        <v>654</v>
      </c>
      <c r="F42" s="843" t="s">
        <v>654</v>
      </c>
      <c r="G42" s="843" t="s">
        <v>654</v>
      </c>
      <c r="H42" s="843" t="s">
        <v>654</v>
      </c>
      <c r="I42" s="843" t="s">
        <v>654</v>
      </c>
      <c r="J42" s="438">
        <v>112959.85</v>
      </c>
      <c r="K42" s="430"/>
      <c r="L42" s="430"/>
      <c r="M42" s="430"/>
    </row>
    <row r="43" spans="1:13" ht="16.5">
      <c r="A43" s="439"/>
      <c r="B43" s="428"/>
      <c r="C43" s="426"/>
      <c r="D43" s="429" t="s">
        <v>368</v>
      </c>
      <c r="E43" s="438">
        <v>2223854.2200000002</v>
      </c>
      <c r="F43" s="438">
        <v>2676802.7400000002</v>
      </c>
      <c r="G43" s="438">
        <v>3282788.82</v>
      </c>
      <c r="H43" s="438">
        <v>3352625.83</v>
      </c>
      <c r="I43" s="843" t="s">
        <v>654</v>
      </c>
      <c r="J43" s="438">
        <v>3160139.52</v>
      </c>
      <c r="K43" s="427"/>
      <c r="L43" s="427"/>
      <c r="M43" s="427"/>
    </row>
    <row r="44" spans="1:13" ht="16.5">
      <c r="A44" s="439"/>
      <c r="B44" s="428"/>
      <c r="C44" s="426"/>
      <c r="D44" s="429" t="s">
        <v>369</v>
      </c>
      <c r="E44" s="438"/>
      <c r="F44" s="438">
        <v>121955.61</v>
      </c>
      <c r="G44" s="438">
        <v>264635.49</v>
      </c>
      <c r="H44" s="438">
        <v>51453.51</v>
      </c>
      <c r="I44" s="438">
        <v>115932.1</v>
      </c>
      <c r="J44" s="438">
        <v>346242.93</v>
      </c>
      <c r="K44" s="430"/>
      <c r="L44" s="430"/>
      <c r="M44" s="430"/>
    </row>
    <row r="45" spans="1:13" ht="16.5">
      <c r="A45" s="439"/>
      <c r="B45" s="428"/>
      <c r="C45" s="426"/>
      <c r="D45" s="429" t="s">
        <v>370</v>
      </c>
      <c r="E45" s="438">
        <v>266147.06</v>
      </c>
      <c r="F45" s="438">
        <v>472297.33</v>
      </c>
      <c r="G45" s="843" t="s">
        <v>654</v>
      </c>
      <c r="H45" s="843" t="s">
        <v>654</v>
      </c>
      <c r="I45" s="843" t="s">
        <v>654</v>
      </c>
      <c r="J45" s="843" t="s">
        <v>654</v>
      </c>
      <c r="K45" s="445"/>
      <c r="L45" s="445"/>
      <c r="M45" s="445"/>
    </row>
    <row r="46" spans="1:13" ht="16.5">
      <c r="A46" s="439"/>
      <c r="B46" s="428"/>
      <c r="C46" s="426"/>
      <c r="D46" s="429" t="s">
        <v>371</v>
      </c>
      <c r="E46" s="438">
        <v>3272987.08</v>
      </c>
      <c r="F46" s="438">
        <v>2031325.63</v>
      </c>
      <c r="G46" s="438">
        <v>4029319.25</v>
      </c>
      <c r="H46" s="438">
        <v>2205076.14</v>
      </c>
      <c r="I46" s="438">
        <v>2718031.08</v>
      </c>
      <c r="J46" s="438">
        <v>1076418.6000000001</v>
      </c>
      <c r="K46" s="427"/>
      <c r="L46" s="427"/>
      <c r="M46" s="427"/>
    </row>
    <row r="47" spans="1:13" ht="16.5">
      <c r="A47" s="439"/>
      <c r="B47" s="428"/>
      <c r="C47" s="424" t="s">
        <v>372</v>
      </c>
      <c r="D47" s="425"/>
      <c r="E47" s="843" t="s">
        <v>654</v>
      </c>
      <c r="F47" s="438">
        <v>15000</v>
      </c>
      <c r="G47" s="438">
        <v>107000</v>
      </c>
      <c r="H47" s="843" t="s">
        <v>654</v>
      </c>
      <c r="I47" s="438">
        <v>99500</v>
      </c>
      <c r="J47" s="438">
        <v>157356.22</v>
      </c>
      <c r="K47" s="430"/>
      <c r="L47" s="430"/>
      <c r="M47" s="430"/>
    </row>
    <row r="48" spans="1:13" ht="16.5">
      <c r="A48" s="439"/>
      <c r="B48" s="428"/>
      <c r="C48" s="426"/>
      <c r="D48" s="429" t="s">
        <v>373</v>
      </c>
      <c r="E48" s="843" t="s">
        <v>654</v>
      </c>
      <c r="F48" s="438">
        <v>15000</v>
      </c>
      <c r="G48" s="438">
        <v>107000</v>
      </c>
      <c r="H48" s="843" t="s">
        <v>654</v>
      </c>
      <c r="I48" s="438">
        <v>99500</v>
      </c>
      <c r="J48" s="438">
        <v>157356.22</v>
      </c>
      <c r="K48" s="430"/>
      <c r="L48" s="430"/>
      <c r="M48" s="430"/>
    </row>
    <row r="49" spans="1:10" ht="13.5">
      <c r="A49" s="441"/>
      <c r="B49" s="424" t="s">
        <v>374</v>
      </c>
      <c r="C49" s="431"/>
      <c r="D49" s="432"/>
      <c r="E49" s="436">
        <v>137415.82971295761</v>
      </c>
      <c r="F49" s="436">
        <v>139349.05422789857</v>
      </c>
      <c r="G49" s="436">
        <v>174982.95447779685</v>
      </c>
      <c r="H49" s="436">
        <v>176865.91356913466</v>
      </c>
      <c r="I49" s="436">
        <v>83697.179677762702</v>
      </c>
      <c r="J49" s="436">
        <v>93752.422477483356</v>
      </c>
    </row>
    <row r="50" spans="1:10" ht="16.5">
      <c r="A50" s="439"/>
      <c r="B50" s="428"/>
      <c r="C50" s="424" t="s">
        <v>375</v>
      </c>
      <c r="D50" s="425"/>
      <c r="E50" s="438">
        <v>137415.82971295761</v>
      </c>
      <c r="F50" s="438">
        <v>139349.05422789857</v>
      </c>
      <c r="G50" s="438">
        <v>174982.95447779685</v>
      </c>
      <c r="H50" s="438">
        <v>176865.91356913466</v>
      </c>
      <c r="I50" s="438">
        <v>83697.179677762702</v>
      </c>
      <c r="J50" s="438">
        <v>93752.422477483356</v>
      </c>
    </row>
    <row r="51" spans="1:10" ht="16.5">
      <c r="A51" s="439"/>
      <c r="B51" s="428"/>
      <c r="C51" s="426"/>
      <c r="D51" s="429" t="s">
        <v>375</v>
      </c>
      <c r="E51" s="438">
        <v>67375.100057550953</v>
      </c>
      <c r="F51" s="438">
        <v>90349.488474691258</v>
      </c>
      <c r="G51" s="438">
        <v>111569.92977757235</v>
      </c>
      <c r="H51" s="438">
        <v>98817.752860300243</v>
      </c>
      <c r="I51" s="438">
        <v>4372.8509495198496</v>
      </c>
      <c r="J51" s="843" t="s">
        <v>654</v>
      </c>
    </row>
    <row r="52" spans="1:10" ht="16.5">
      <c r="A52" s="442"/>
      <c r="B52" s="433"/>
      <c r="C52" s="434"/>
      <c r="D52" s="434" t="s">
        <v>376</v>
      </c>
      <c r="E52" s="443">
        <v>70040.729655406656</v>
      </c>
      <c r="F52" s="443">
        <v>48999.565753207302</v>
      </c>
      <c r="G52" s="443">
        <v>63413.024700224501</v>
      </c>
      <c r="H52" s="443">
        <v>78048.160708834403</v>
      </c>
      <c r="I52" s="443">
        <v>79324.32872824285</v>
      </c>
      <c r="J52" s="443">
        <v>93752.422477483356</v>
      </c>
    </row>
    <row r="53" spans="1:10">
      <c r="B53" s="318"/>
      <c r="C53" s="318"/>
      <c r="D53" s="318"/>
      <c r="E53" s="318"/>
    </row>
    <row r="54" spans="1:10">
      <c r="A54" s="827" t="s">
        <v>553</v>
      </c>
    </row>
    <row r="55" spans="1:10" ht="12.75" customHeight="1"/>
  </sheetData>
  <mergeCells count="6">
    <mergeCell ref="A3:J3"/>
    <mergeCell ref="A4:J4"/>
    <mergeCell ref="D5:J5"/>
    <mergeCell ref="D6:J6"/>
    <mergeCell ref="A8:D9"/>
    <mergeCell ref="E8:J8"/>
  </mergeCells>
  <hyperlinks>
    <hyperlink ref="E2:J6" location="Indice!A1" display="Cuadro 4.5.5 "/>
    <hyperlink ref="A1" location="Indice!A1" display="Cuadro 5.2 Porcentaje del presupuesto asignado a entidades destinado a actividades de medio ambiente o recursos naturales"/>
  </hyperlinks>
  <pageMargins left="0.70866141732283472" right="0.70866141732283472" top="0.74803149606299213" bottom="0.74803149606299213" header="0.31496062992125984" footer="0.31496062992125984"/>
  <pageSetup scale="86" orientation="portrait" r:id="rId1"/>
</worksheet>
</file>

<file path=xl/worksheets/sheet49.xml><?xml version="1.0" encoding="utf-8"?>
<worksheet xmlns="http://schemas.openxmlformats.org/spreadsheetml/2006/main" xmlns:r="http://schemas.openxmlformats.org/officeDocument/2006/relationships">
  <sheetPr>
    <pageSetUpPr fitToPage="1"/>
  </sheetPr>
  <dimension ref="A1:J86"/>
  <sheetViews>
    <sheetView showGridLines="0" topLeftCell="A2" workbookViewId="0">
      <selection activeCell="A2" sqref="A2:I2"/>
    </sheetView>
  </sheetViews>
  <sheetFormatPr baseColWidth="10" defaultRowHeight="12.75"/>
  <cols>
    <col min="1" max="1" width="1.33203125" customWidth="1"/>
    <col min="2" max="2" width="1.83203125" style="420" customWidth="1"/>
    <col min="3" max="3" width="38.5" style="420" customWidth="1"/>
    <col min="4" max="4" width="12.1640625" customWidth="1"/>
    <col min="5" max="5" width="12.5" customWidth="1"/>
    <col min="6" max="6" width="12.33203125" customWidth="1"/>
    <col min="7" max="7" width="12.1640625" customWidth="1"/>
    <col min="8" max="8" width="12.33203125" customWidth="1"/>
    <col min="9" max="9" width="12.6640625" customWidth="1"/>
    <col min="10" max="10" width="13.6640625" bestFit="1" customWidth="1"/>
  </cols>
  <sheetData>
    <row r="1" spans="1:10" hidden="1">
      <c r="A1" s="7" t="s">
        <v>466</v>
      </c>
    </row>
    <row r="2" spans="1:10">
      <c r="A2" s="537" t="s">
        <v>390</v>
      </c>
      <c r="B2" s="537"/>
      <c r="C2" s="537"/>
      <c r="D2" s="537"/>
      <c r="E2" s="537"/>
      <c r="F2" s="537"/>
      <c r="G2" s="537"/>
      <c r="H2" s="537"/>
      <c r="I2" s="537"/>
    </row>
    <row r="3" spans="1:10">
      <c r="A3" s="537" t="s">
        <v>451</v>
      </c>
      <c r="B3" s="537"/>
      <c r="C3" s="537"/>
      <c r="D3" s="537"/>
      <c r="E3" s="537"/>
      <c r="F3" s="537"/>
      <c r="G3" s="537"/>
      <c r="H3" s="537"/>
      <c r="I3" s="537"/>
    </row>
    <row r="4" spans="1:10">
      <c r="A4" s="537" t="s">
        <v>156</v>
      </c>
      <c r="B4" s="537"/>
      <c r="C4" s="537"/>
      <c r="D4" s="537"/>
      <c r="E4" s="537"/>
      <c r="F4" s="537"/>
      <c r="G4" s="537"/>
      <c r="H4" s="537"/>
      <c r="I4" s="537"/>
    </row>
    <row r="5" spans="1:10" s="529" customFormat="1">
      <c r="A5" s="780" t="s">
        <v>391</v>
      </c>
      <c r="B5" s="780"/>
      <c r="C5" s="780"/>
      <c r="D5" s="780"/>
      <c r="E5" s="780"/>
      <c r="F5" s="780"/>
      <c r="G5" s="780"/>
      <c r="H5" s="780"/>
      <c r="I5" s="780"/>
    </row>
    <row r="6" spans="1:10">
      <c r="J6" s="467"/>
    </row>
    <row r="7" spans="1:10">
      <c r="A7" s="783" t="s">
        <v>380</v>
      </c>
      <c r="B7" s="649"/>
      <c r="C7" s="649"/>
      <c r="D7" s="781"/>
      <c r="E7" s="781"/>
      <c r="F7" s="781"/>
      <c r="G7" s="782" t="s">
        <v>34</v>
      </c>
      <c r="H7" s="781"/>
      <c r="I7" s="781"/>
      <c r="J7" s="186"/>
    </row>
    <row r="8" spans="1:10">
      <c r="A8" s="650"/>
      <c r="B8" s="650"/>
      <c r="C8" s="650"/>
      <c r="D8" s="685">
        <v>2001</v>
      </c>
      <c r="E8" s="685">
        <v>2002</v>
      </c>
      <c r="F8" s="685">
        <v>2003</v>
      </c>
      <c r="G8" s="685">
        <v>2004</v>
      </c>
      <c r="H8" s="685">
        <v>2005</v>
      </c>
      <c r="I8" s="685">
        <v>2006</v>
      </c>
      <c r="J8" s="468"/>
    </row>
    <row r="9" spans="1:10" ht="13.5">
      <c r="A9" s="479" t="s">
        <v>339</v>
      </c>
      <c r="B9" s="478"/>
      <c r="C9" s="478"/>
      <c r="D9" s="445">
        <v>9432736.5600000024</v>
      </c>
      <c r="E9" s="445">
        <v>8613032.9800000004</v>
      </c>
      <c r="F9" s="445">
        <v>8007326.4800000014</v>
      </c>
      <c r="G9" s="445">
        <v>4593212.38</v>
      </c>
      <c r="H9" s="445">
        <v>4501963.6500000004</v>
      </c>
      <c r="I9" s="445">
        <v>8810354.8900000006</v>
      </c>
      <c r="J9" s="465"/>
    </row>
    <row r="10" spans="1:10" ht="13.5">
      <c r="A10" s="480"/>
      <c r="B10" s="480" t="s">
        <v>381</v>
      </c>
      <c r="C10" s="480"/>
      <c r="D10" s="427">
        <v>5374155.4700000007</v>
      </c>
      <c r="E10" s="427">
        <v>7002376.8999999994</v>
      </c>
      <c r="F10" s="427">
        <v>4763574.9000000004</v>
      </c>
      <c r="G10" s="427">
        <v>299534.44</v>
      </c>
      <c r="H10" s="427">
        <v>1067749.47</v>
      </c>
      <c r="I10" s="427">
        <v>4629532.0899999989</v>
      </c>
      <c r="J10" s="466"/>
    </row>
    <row r="11" spans="1:10" ht="13.5">
      <c r="A11" s="481"/>
      <c r="B11" s="478"/>
      <c r="C11" s="481" t="s">
        <v>394</v>
      </c>
      <c r="D11" s="430">
        <v>632180.57000000007</v>
      </c>
      <c r="E11" s="430">
        <v>6829</v>
      </c>
      <c r="F11" s="430">
        <v>9042.35</v>
      </c>
      <c r="G11" s="430">
        <v>1060.68</v>
      </c>
      <c r="H11" s="430">
        <v>1055.3599999999999</v>
      </c>
      <c r="I11" s="430">
        <v>5574.9</v>
      </c>
      <c r="J11" s="466"/>
    </row>
    <row r="12" spans="1:10" ht="13.5">
      <c r="A12" s="481"/>
      <c r="B12" s="478"/>
      <c r="C12" s="481" t="s">
        <v>395</v>
      </c>
      <c r="D12" s="430">
        <v>355579.14999999997</v>
      </c>
      <c r="E12" s="430">
        <v>4000221.1199999996</v>
      </c>
      <c r="F12" s="430">
        <v>52275.66</v>
      </c>
      <c r="G12" s="430">
        <v>1796.42</v>
      </c>
      <c r="H12" s="430">
        <v>2196.46</v>
      </c>
      <c r="I12" s="430">
        <v>30792.58</v>
      </c>
      <c r="J12" s="466"/>
    </row>
    <row r="13" spans="1:10" ht="13.5">
      <c r="A13" s="481"/>
      <c r="B13" s="478"/>
      <c r="C13" s="481" t="s">
        <v>396</v>
      </c>
      <c r="D13" s="843" t="s">
        <v>654</v>
      </c>
      <c r="E13" s="843" t="s">
        <v>654</v>
      </c>
      <c r="F13" s="843" t="s">
        <v>654</v>
      </c>
      <c r="G13" s="430">
        <v>2555.4</v>
      </c>
      <c r="H13" s="843" t="s">
        <v>654</v>
      </c>
      <c r="I13" s="843" t="s">
        <v>654</v>
      </c>
      <c r="J13" s="466"/>
    </row>
    <row r="14" spans="1:10" ht="13.5">
      <c r="A14" s="481"/>
      <c r="B14" s="478"/>
      <c r="C14" s="481" t="s">
        <v>397</v>
      </c>
      <c r="D14" s="843" t="s">
        <v>654</v>
      </c>
      <c r="E14" s="843" t="s">
        <v>654</v>
      </c>
      <c r="F14" s="843" t="s">
        <v>654</v>
      </c>
      <c r="G14" s="843" t="s">
        <v>654</v>
      </c>
      <c r="H14" s="430">
        <v>70</v>
      </c>
      <c r="I14" s="430">
        <v>146.5</v>
      </c>
      <c r="J14" s="466"/>
    </row>
    <row r="15" spans="1:10" ht="13.5">
      <c r="A15" s="481"/>
      <c r="B15" s="478"/>
      <c r="C15" s="481" t="s">
        <v>398</v>
      </c>
      <c r="D15" s="843" t="s">
        <v>654</v>
      </c>
      <c r="E15" s="843" t="s">
        <v>654</v>
      </c>
      <c r="F15" s="843" t="s">
        <v>654</v>
      </c>
      <c r="G15" s="843" t="s">
        <v>654</v>
      </c>
      <c r="H15" s="430">
        <v>387</v>
      </c>
      <c r="I15" s="430">
        <v>192</v>
      </c>
      <c r="J15" s="466"/>
    </row>
    <row r="16" spans="1:10" ht="13.5">
      <c r="A16" s="481"/>
      <c r="B16" s="478"/>
      <c r="C16" s="481" t="s">
        <v>399</v>
      </c>
      <c r="D16" s="430">
        <v>3740</v>
      </c>
      <c r="E16" s="430">
        <v>8430</v>
      </c>
      <c r="F16" s="430">
        <v>5805.58</v>
      </c>
      <c r="G16" s="430">
        <v>3874.47</v>
      </c>
      <c r="H16" s="430">
        <v>3783.07</v>
      </c>
      <c r="I16" s="430"/>
      <c r="J16" s="466"/>
    </row>
    <row r="17" spans="1:10" ht="13.5">
      <c r="A17" s="481"/>
      <c r="B17" s="478"/>
      <c r="C17" s="481" t="s">
        <v>400</v>
      </c>
      <c r="D17" s="430">
        <v>45446.23</v>
      </c>
      <c r="E17" s="430">
        <v>75015</v>
      </c>
      <c r="F17" s="430">
        <v>31282</v>
      </c>
      <c r="G17" s="430">
        <v>20</v>
      </c>
      <c r="H17" s="430">
        <v>375</v>
      </c>
      <c r="I17" s="430">
        <v>1916.66</v>
      </c>
      <c r="J17" s="466"/>
    </row>
    <row r="18" spans="1:10" ht="13.5">
      <c r="A18" s="481"/>
      <c r="B18" s="478"/>
      <c r="C18" s="481" t="s">
        <v>401</v>
      </c>
      <c r="D18" s="430">
        <v>3635517.58</v>
      </c>
      <c r="E18" s="430">
        <v>1594946</v>
      </c>
      <c r="F18" s="430">
        <v>3593602.3000000003</v>
      </c>
      <c r="G18" s="430">
        <v>70800</v>
      </c>
      <c r="H18" s="430">
        <v>35070</v>
      </c>
      <c r="I18" s="430">
        <v>2112</v>
      </c>
      <c r="J18" s="466"/>
    </row>
    <row r="19" spans="1:10" ht="13.5">
      <c r="A19" s="481"/>
      <c r="B19" s="478"/>
      <c r="C19" s="481" t="s">
        <v>402</v>
      </c>
      <c r="D19" s="843" t="s">
        <v>654</v>
      </c>
      <c r="E19" s="843" t="s">
        <v>654</v>
      </c>
      <c r="F19" s="843" t="s">
        <v>654</v>
      </c>
      <c r="G19" s="843" t="s">
        <v>654</v>
      </c>
      <c r="H19" s="843" t="s">
        <v>654</v>
      </c>
      <c r="I19" s="430">
        <v>320</v>
      </c>
      <c r="J19" s="466"/>
    </row>
    <row r="20" spans="1:10" ht="13.5">
      <c r="A20" s="481"/>
      <c r="B20" s="478"/>
      <c r="C20" s="481" t="s">
        <v>403</v>
      </c>
      <c r="D20" s="430">
        <v>701691.94</v>
      </c>
      <c r="E20" s="430">
        <v>1316935.78</v>
      </c>
      <c r="F20" s="430">
        <v>1071567.01</v>
      </c>
      <c r="G20" s="430">
        <v>219427.47</v>
      </c>
      <c r="H20" s="430">
        <v>1024812.58</v>
      </c>
      <c r="I20" s="430">
        <v>4588477.4499999993</v>
      </c>
      <c r="J20" s="465"/>
    </row>
    <row r="21" spans="1:10" ht="13.5">
      <c r="A21" s="480"/>
      <c r="B21" s="480" t="s">
        <v>382</v>
      </c>
      <c r="C21" s="480"/>
      <c r="D21" s="427">
        <v>4058581.09</v>
      </c>
      <c r="E21" s="427">
        <v>1610656.08</v>
      </c>
      <c r="F21" s="427">
        <v>3243751.58</v>
      </c>
      <c r="G21" s="427">
        <v>4293677.9400000004</v>
      </c>
      <c r="H21" s="427">
        <v>3434214.1800000006</v>
      </c>
      <c r="I21" s="427">
        <v>4180822.8</v>
      </c>
      <c r="J21" s="466"/>
    </row>
    <row r="22" spans="1:10" ht="13.5">
      <c r="A22" s="481"/>
      <c r="B22" s="478"/>
      <c r="C22" s="481" t="s">
        <v>404</v>
      </c>
      <c r="D22" s="843" t="s">
        <v>654</v>
      </c>
      <c r="E22" s="430">
        <v>38489.520000000004</v>
      </c>
      <c r="F22" s="430">
        <v>7354</v>
      </c>
      <c r="G22" s="430">
        <v>56019</v>
      </c>
      <c r="H22" s="430">
        <v>135238</v>
      </c>
      <c r="I22" s="430">
        <v>10010</v>
      </c>
      <c r="J22" s="466"/>
    </row>
    <row r="23" spans="1:10" ht="13.5">
      <c r="A23" s="481"/>
      <c r="B23" s="478"/>
      <c r="C23" s="481" t="s">
        <v>405</v>
      </c>
      <c r="D23" s="430">
        <v>10896</v>
      </c>
      <c r="E23" s="843" t="s">
        <v>654</v>
      </c>
      <c r="F23" s="843" t="s">
        <v>654</v>
      </c>
      <c r="G23" s="843" t="s">
        <v>654</v>
      </c>
      <c r="H23" s="430">
        <v>26258</v>
      </c>
      <c r="I23" s="843" t="s">
        <v>654</v>
      </c>
      <c r="J23" s="466"/>
    </row>
    <row r="24" spans="1:10" ht="13.5">
      <c r="A24" s="481"/>
      <c r="B24" s="478"/>
      <c r="C24" s="481" t="s">
        <v>406</v>
      </c>
      <c r="D24" s="430">
        <v>41329.1</v>
      </c>
      <c r="E24" s="430">
        <v>39608.699999999997</v>
      </c>
      <c r="F24" s="430">
        <v>15185</v>
      </c>
      <c r="G24" s="430">
        <v>277910.3</v>
      </c>
      <c r="H24" s="430">
        <v>52844</v>
      </c>
      <c r="I24" s="430">
        <v>55082</v>
      </c>
      <c r="J24" s="466"/>
    </row>
    <row r="25" spans="1:10" ht="13.5">
      <c r="A25" s="481"/>
      <c r="B25" s="478"/>
      <c r="C25" s="481" t="s">
        <v>407</v>
      </c>
      <c r="D25" s="430">
        <v>11010.5</v>
      </c>
      <c r="E25" s="430">
        <v>996</v>
      </c>
      <c r="F25" s="843" t="s">
        <v>654</v>
      </c>
      <c r="G25" s="430">
        <v>171</v>
      </c>
      <c r="H25" s="430">
        <v>20325</v>
      </c>
      <c r="I25" s="843" t="s">
        <v>654</v>
      </c>
      <c r="J25" s="466"/>
    </row>
    <row r="26" spans="1:10" ht="13.5">
      <c r="A26" s="481"/>
      <c r="B26" s="478"/>
      <c r="C26" s="481" t="s">
        <v>408</v>
      </c>
      <c r="D26" s="430">
        <v>686</v>
      </c>
      <c r="E26" s="430">
        <v>1905</v>
      </c>
      <c r="F26" s="430">
        <v>2892</v>
      </c>
      <c r="G26" s="430">
        <v>1666</v>
      </c>
      <c r="H26" s="430">
        <v>10587</v>
      </c>
      <c r="I26" s="430">
        <v>1981</v>
      </c>
      <c r="J26" s="466"/>
    </row>
    <row r="27" spans="1:10" ht="13.5">
      <c r="A27" s="481"/>
      <c r="B27" s="478"/>
      <c r="C27" s="481" t="s">
        <v>409</v>
      </c>
      <c r="D27" s="430">
        <v>24</v>
      </c>
      <c r="E27" s="843" t="s">
        <v>654</v>
      </c>
      <c r="F27" s="430">
        <v>760</v>
      </c>
      <c r="G27" s="430">
        <v>2000</v>
      </c>
      <c r="H27" s="430">
        <v>490</v>
      </c>
      <c r="I27" s="430">
        <v>330</v>
      </c>
      <c r="J27" s="466"/>
    </row>
    <row r="28" spans="1:10" ht="13.5">
      <c r="A28" s="481"/>
      <c r="B28" s="478"/>
      <c r="C28" s="481" t="s">
        <v>452</v>
      </c>
      <c r="D28" s="430">
        <v>21032.9</v>
      </c>
      <c r="E28" s="430">
        <v>26439</v>
      </c>
      <c r="F28" s="430">
        <v>7128.34</v>
      </c>
      <c r="G28" s="430">
        <v>2391.9</v>
      </c>
      <c r="H28" s="430">
        <v>54263.01</v>
      </c>
      <c r="I28" s="430">
        <v>42025.07</v>
      </c>
      <c r="J28" s="466"/>
    </row>
    <row r="29" spans="1:10" ht="13.5">
      <c r="A29" s="481"/>
      <c r="B29" s="478"/>
      <c r="C29" s="481" t="s">
        <v>453</v>
      </c>
      <c r="D29" s="843" t="s">
        <v>654</v>
      </c>
      <c r="E29" s="843" t="s">
        <v>654</v>
      </c>
      <c r="F29" s="843" t="s">
        <v>654</v>
      </c>
      <c r="G29" s="843" t="s">
        <v>654</v>
      </c>
      <c r="H29" s="430">
        <v>500</v>
      </c>
      <c r="I29" s="843" t="s">
        <v>654</v>
      </c>
      <c r="J29" s="466"/>
    </row>
    <row r="30" spans="1:10" ht="13.5">
      <c r="A30" s="481"/>
      <c r="B30" s="478"/>
      <c r="C30" s="481" t="s">
        <v>410</v>
      </c>
      <c r="D30" s="430">
        <v>11520.5</v>
      </c>
      <c r="E30" s="430">
        <v>261</v>
      </c>
      <c r="F30" s="430">
        <v>237</v>
      </c>
      <c r="G30" s="430">
        <v>36</v>
      </c>
      <c r="H30" s="430">
        <v>409</v>
      </c>
      <c r="I30" s="430">
        <v>537</v>
      </c>
      <c r="J30" s="466"/>
    </row>
    <row r="31" spans="1:10" ht="13.5">
      <c r="A31" s="481"/>
      <c r="B31" s="478"/>
      <c r="C31" s="481" t="s">
        <v>411</v>
      </c>
      <c r="D31" s="430">
        <v>32625.200000000001</v>
      </c>
      <c r="E31" s="430">
        <v>35396.5</v>
      </c>
      <c r="F31" s="430">
        <v>17024</v>
      </c>
      <c r="G31" s="430">
        <v>3261</v>
      </c>
      <c r="H31" s="430">
        <v>14274</v>
      </c>
      <c r="I31" s="430">
        <v>28948.2</v>
      </c>
      <c r="J31" s="466"/>
    </row>
    <row r="32" spans="1:10" ht="13.5">
      <c r="A32" s="481"/>
      <c r="B32" s="478"/>
      <c r="C32" s="481" t="s">
        <v>412</v>
      </c>
      <c r="D32" s="430">
        <v>11570.5</v>
      </c>
      <c r="E32" s="430">
        <v>12391</v>
      </c>
      <c r="F32" s="430">
        <v>6856.5</v>
      </c>
      <c r="G32" s="430">
        <v>360</v>
      </c>
      <c r="H32" s="430">
        <v>10565.5</v>
      </c>
      <c r="I32" s="430">
        <v>25856.5</v>
      </c>
      <c r="J32" s="466"/>
    </row>
    <row r="33" spans="1:10" ht="13.5">
      <c r="A33" s="481"/>
      <c r="B33" s="478"/>
      <c r="C33" s="481" t="s">
        <v>413</v>
      </c>
      <c r="D33" s="430">
        <v>37640.400000000001</v>
      </c>
      <c r="E33" s="430">
        <v>47841.5</v>
      </c>
      <c r="F33" s="430">
        <v>36221.760000000002</v>
      </c>
      <c r="G33" s="430">
        <v>25925</v>
      </c>
      <c r="H33" s="430">
        <v>172657.03</v>
      </c>
      <c r="I33" s="430">
        <v>2368</v>
      </c>
      <c r="J33" s="466"/>
    </row>
    <row r="34" spans="1:10" ht="13.5">
      <c r="A34" s="481"/>
      <c r="B34" s="478"/>
      <c r="C34" s="481" t="s">
        <v>414</v>
      </c>
      <c r="D34" s="430">
        <v>376364.4</v>
      </c>
      <c r="E34" s="430">
        <v>317805.50000000006</v>
      </c>
      <c r="F34" s="430">
        <v>153298</v>
      </c>
      <c r="G34" s="430">
        <v>345654.05</v>
      </c>
      <c r="H34" s="430">
        <v>434526.06</v>
      </c>
      <c r="I34" s="430">
        <v>404128.25</v>
      </c>
      <c r="J34" s="466"/>
    </row>
    <row r="35" spans="1:10" ht="13.5">
      <c r="A35" s="481"/>
      <c r="B35" s="478"/>
      <c r="C35" s="481" t="s">
        <v>415</v>
      </c>
      <c r="D35" s="430">
        <v>308294.8</v>
      </c>
      <c r="E35" s="430">
        <v>273355.5</v>
      </c>
      <c r="F35" s="430">
        <v>57637.5</v>
      </c>
      <c r="G35" s="430">
        <v>158580.72</v>
      </c>
      <c r="H35" s="430">
        <v>21961.9</v>
      </c>
      <c r="I35" s="430">
        <v>31365.119999999999</v>
      </c>
      <c r="J35" s="466"/>
    </row>
    <row r="36" spans="1:10" ht="13.5">
      <c r="A36" s="481"/>
      <c r="B36" s="478"/>
      <c r="C36" s="481" t="s">
        <v>416</v>
      </c>
      <c r="D36" s="430">
        <v>6064.4</v>
      </c>
      <c r="E36" s="430">
        <v>8909</v>
      </c>
      <c r="F36" s="430">
        <v>19744.61</v>
      </c>
      <c r="G36" s="430">
        <v>65544.959999999992</v>
      </c>
      <c r="H36" s="430">
        <v>17036.650000000001</v>
      </c>
      <c r="I36" s="430">
        <v>55375.5</v>
      </c>
      <c r="J36" s="466"/>
    </row>
    <row r="37" spans="1:10" ht="13.5">
      <c r="A37" s="481"/>
      <c r="B37" s="478"/>
      <c r="C37" s="481" t="s">
        <v>417</v>
      </c>
      <c r="D37" s="430">
        <v>40411</v>
      </c>
      <c r="E37" s="430">
        <v>97152.33</v>
      </c>
      <c r="F37" s="430">
        <v>223765.03</v>
      </c>
      <c r="G37" s="430">
        <v>49087.94</v>
      </c>
      <c r="H37" s="430">
        <v>31738.95</v>
      </c>
      <c r="I37" s="430">
        <v>51878.06</v>
      </c>
      <c r="J37" s="466"/>
    </row>
    <row r="38" spans="1:10" ht="13.5">
      <c r="A38" s="481"/>
      <c r="B38" s="478"/>
      <c r="C38" s="481" t="s">
        <v>418</v>
      </c>
      <c r="D38" s="430">
        <v>186968.23</v>
      </c>
      <c r="E38" s="430">
        <v>203112.24</v>
      </c>
      <c r="F38" s="430">
        <v>324274.34000000003</v>
      </c>
      <c r="G38" s="430">
        <v>22081.9</v>
      </c>
      <c r="H38" s="430">
        <v>45995.5</v>
      </c>
      <c r="I38" s="430">
        <v>23028.86</v>
      </c>
      <c r="J38" s="466"/>
    </row>
    <row r="39" spans="1:10" ht="13.5">
      <c r="A39" s="481"/>
      <c r="B39" s="478"/>
      <c r="C39" s="481" t="s">
        <v>419</v>
      </c>
      <c r="D39" s="430">
        <v>2600</v>
      </c>
      <c r="E39" s="430">
        <v>2815</v>
      </c>
      <c r="F39" s="430">
        <v>160</v>
      </c>
      <c r="G39" s="843" t="s">
        <v>654</v>
      </c>
      <c r="H39" s="430">
        <v>36400</v>
      </c>
      <c r="I39" s="430">
        <v>32280</v>
      </c>
      <c r="J39" s="466"/>
    </row>
    <row r="40" spans="1:10" ht="13.5">
      <c r="A40" s="481"/>
      <c r="B40" s="478"/>
      <c r="C40" s="481" t="s">
        <v>420</v>
      </c>
      <c r="D40" s="843" t="s">
        <v>654</v>
      </c>
      <c r="E40" s="843" t="s">
        <v>654</v>
      </c>
      <c r="F40" s="843" t="s">
        <v>654</v>
      </c>
      <c r="G40" s="843" t="s">
        <v>654</v>
      </c>
      <c r="H40" s="430">
        <v>17490</v>
      </c>
      <c r="I40" s="843" t="s">
        <v>654</v>
      </c>
      <c r="J40" s="466"/>
    </row>
    <row r="41" spans="1:10" ht="13.5">
      <c r="A41" s="481"/>
      <c r="B41" s="478"/>
      <c r="C41" s="481" t="s">
        <v>602</v>
      </c>
      <c r="D41" s="430">
        <v>86785.3</v>
      </c>
      <c r="E41" s="843" t="s">
        <v>654</v>
      </c>
      <c r="F41" s="843" t="s">
        <v>654</v>
      </c>
      <c r="G41" s="430">
        <v>16700</v>
      </c>
      <c r="H41" s="430">
        <v>87429.5</v>
      </c>
      <c r="I41" s="430">
        <v>86700</v>
      </c>
      <c r="J41" s="466"/>
    </row>
    <row r="42" spans="1:10" ht="13.5">
      <c r="A42" s="481"/>
      <c r="B42" s="478"/>
      <c r="C42" s="481" t="s">
        <v>421</v>
      </c>
      <c r="D42" s="843" t="s">
        <v>654</v>
      </c>
      <c r="E42" s="843" t="s">
        <v>654</v>
      </c>
      <c r="F42" s="843" t="s">
        <v>654</v>
      </c>
      <c r="G42" s="430">
        <v>21200</v>
      </c>
      <c r="H42" s="430">
        <v>14000</v>
      </c>
      <c r="I42" s="430">
        <v>576.61</v>
      </c>
      <c r="J42" s="466"/>
    </row>
    <row r="43" spans="1:10" ht="13.5">
      <c r="A43" s="481"/>
      <c r="B43" s="478"/>
      <c r="C43" s="481" t="s">
        <v>422</v>
      </c>
      <c r="D43" s="430">
        <v>35527</v>
      </c>
      <c r="E43" s="430">
        <v>35820</v>
      </c>
      <c r="F43" s="430">
        <v>23276</v>
      </c>
      <c r="G43" s="430">
        <v>14506</v>
      </c>
      <c r="H43" s="430">
        <v>23811</v>
      </c>
      <c r="I43" s="430">
        <v>26956.5</v>
      </c>
      <c r="J43" s="466"/>
    </row>
    <row r="44" spans="1:10" ht="13.5">
      <c r="A44" s="481"/>
      <c r="B44" s="478"/>
      <c r="C44" s="481" t="s">
        <v>423</v>
      </c>
      <c r="D44" s="430">
        <v>7383.64</v>
      </c>
      <c r="E44" s="843" t="s">
        <v>654</v>
      </c>
      <c r="F44" s="430">
        <v>4805.9399999999996</v>
      </c>
      <c r="G44" s="843" t="s">
        <v>654</v>
      </c>
      <c r="H44" s="843" t="s">
        <v>654</v>
      </c>
      <c r="I44" s="430">
        <v>125.12</v>
      </c>
      <c r="J44" s="466"/>
    </row>
    <row r="45" spans="1:10" ht="13.5">
      <c r="A45" s="481"/>
      <c r="B45" s="478"/>
      <c r="C45" s="481" t="s">
        <v>424</v>
      </c>
      <c r="D45" s="843" t="s">
        <v>654</v>
      </c>
      <c r="E45" s="843" t="s">
        <v>654</v>
      </c>
      <c r="F45" s="430">
        <v>156.69999999999999</v>
      </c>
      <c r="G45" s="430">
        <v>844272.72000000009</v>
      </c>
      <c r="H45" s="430">
        <v>790000</v>
      </c>
      <c r="I45" s="430">
        <v>824530.51</v>
      </c>
      <c r="J45" s="466"/>
    </row>
    <row r="46" spans="1:10" ht="13.5">
      <c r="A46" s="481"/>
      <c r="B46" s="478"/>
      <c r="C46" s="481" t="s">
        <v>425</v>
      </c>
      <c r="D46" s="843" t="s">
        <v>654</v>
      </c>
      <c r="E46" s="843" t="s">
        <v>654</v>
      </c>
      <c r="F46" s="843" t="s">
        <v>654</v>
      </c>
      <c r="G46" s="843" t="s">
        <v>654</v>
      </c>
      <c r="H46" s="430">
        <v>80909.47</v>
      </c>
      <c r="I46" s="430">
        <v>782.86</v>
      </c>
      <c r="J46" s="466"/>
    </row>
    <row r="47" spans="1:10" ht="13.5">
      <c r="A47" s="481"/>
      <c r="B47" s="478"/>
      <c r="C47" s="481" t="s">
        <v>426</v>
      </c>
      <c r="D47" s="430">
        <v>454</v>
      </c>
      <c r="E47" s="430">
        <v>1148</v>
      </c>
      <c r="F47" s="430">
        <v>1796</v>
      </c>
      <c r="G47" s="430">
        <v>7573</v>
      </c>
      <c r="H47" s="430">
        <v>30306.18</v>
      </c>
      <c r="I47" s="430">
        <v>15448.14</v>
      </c>
      <c r="J47" s="466"/>
    </row>
    <row r="48" spans="1:10" ht="13.5">
      <c r="A48" s="481"/>
      <c r="B48" s="478"/>
      <c r="C48" s="481" t="s">
        <v>427</v>
      </c>
      <c r="D48" s="430">
        <v>3956.06</v>
      </c>
      <c r="E48" s="430">
        <v>30388.570000000003</v>
      </c>
      <c r="F48" s="430">
        <v>33905</v>
      </c>
      <c r="G48" s="430">
        <v>111361.34</v>
      </c>
      <c r="H48" s="430">
        <v>148642.51</v>
      </c>
      <c r="I48" s="430">
        <v>615462.04</v>
      </c>
      <c r="J48" s="466"/>
    </row>
    <row r="49" spans="1:10" ht="13.5">
      <c r="A49" s="481"/>
      <c r="B49" s="478"/>
      <c r="C49" s="481" t="s">
        <v>428</v>
      </c>
      <c r="D49" s="430">
        <v>1722997.45</v>
      </c>
      <c r="E49" s="843" t="s">
        <v>654</v>
      </c>
      <c r="F49" s="430">
        <v>1064655.96</v>
      </c>
      <c r="G49" s="430">
        <v>1087793.55</v>
      </c>
      <c r="H49" s="430">
        <v>661763.02000000014</v>
      </c>
      <c r="I49" s="430">
        <v>872415.21</v>
      </c>
      <c r="J49" s="466"/>
    </row>
    <row r="50" spans="1:10" ht="13.5">
      <c r="A50" s="481"/>
      <c r="B50" s="478"/>
      <c r="C50" s="481" t="s">
        <v>429</v>
      </c>
      <c r="D50" s="430">
        <v>83132.81</v>
      </c>
      <c r="E50" s="430">
        <v>23.2</v>
      </c>
      <c r="F50" s="430">
        <v>56516</v>
      </c>
      <c r="G50" s="430">
        <v>62905.16</v>
      </c>
      <c r="H50" s="430">
        <v>91985.75</v>
      </c>
      <c r="I50" s="430">
        <v>82343.25</v>
      </c>
      <c r="J50" s="466"/>
    </row>
    <row r="51" spans="1:10" ht="13.5">
      <c r="A51" s="481"/>
      <c r="B51" s="478"/>
      <c r="C51" s="481" t="s">
        <v>430</v>
      </c>
      <c r="D51" s="430">
        <v>1009577.4</v>
      </c>
      <c r="E51" s="843" t="s">
        <v>654</v>
      </c>
      <c r="F51" s="430">
        <v>1079844.9000000001</v>
      </c>
      <c r="G51" s="430">
        <v>1092601.4000000001</v>
      </c>
      <c r="H51" s="430">
        <v>233482.23</v>
      </c>
      <c r="I51" s="843" t="s">
        <v>654</v>
      </c>
      <c r="J51" s="466"/>
    </row>
    <row r="52" spans="1:10" ht="13.5">
      <c r="A52" s="481"/>
      <c r="B52" s="478"/>
      <c r="C52" s="481" t="s">
        <v>431</v>
      </c>
      <c r="D52" s="430">
        <v>9729.5</v>
      </c>
      <c r="E52" s="430">
        <v>26628</v>
      </c>
      <c r="F52" s="430">
        <v>106257</v>
      </c>
      <c r="G52" s="430">
        <v>24075</v>
      </c>
      <c r="H52" s="430">
        <v>61609</v>
      </c>
      <c r="I52" s="430">
        <v>890189</v>
      </c>
      <c r="J52" s="466"/>
    </row>
    <row r="53" spans="1:10" ht="13.5">
      <c r="A53" s="481"/>
      <c r="B53" s="478"/>
      <c r="C53" s="481" t="s">
        <v>432</v>
      </c>
      <c r="D53" s="843" t="s">
        <v>654</v>
      </c>
      <c r="E53" s="430">
        <v>410170.52</v>
      </c>
      <c r="F53" s="843" t="s">
        <v>654</v>
      </c>
      <c r="G53" s="843" t="s">
        <v>654</v>
      </c>
      <c r="H53" s="430">
        <v>106715.92</v>
      </c>
      <c r="I53" s="843" t="s">
        <v>654</v>
      </c>
      <c r="J53" s="469"/>
    </row>
    <row r="54" spans="1:10" ht="13.5">
      <c r="A54" s="481"/>
      <c r="B54" s="478"/>
      <c r="C54" s="481" t="s">
        <v>433</v>
      </c>
      <c r="D54" s="843" t="s">
        <v>654</v>
      </c>
      <c r="E54" s="843" t="s">
        <v>654</v>
      </c>
      <c r="F54" s="843" t="s">
        <v>654</v>
      </c>
      <c r="G54" s="843" t="s">
        <v>654</v>
      </c>
      <c r="H54" s="843" t="s">
        <v>654</v>
      </c>
      <c r="I54" s="430">
        <v>100</v>
      </c>
      <c r="J54" s="470"/>
    </row>
    <row r="55" spans="1:10" ht="13.5">
      <c r="A55" s="482" t="s">
        <v>361</v>
      </c>
      <c r="B55" s="478"/>
      <c r="C55" s="478"/>
      <c r="D55" s="445">
        <v>84857296.319999993</v>
      </c>
      <c r="E55" s="445">
        <v>108605699.27999999</v>
      </c>
      <c r="F55" s="445">
        <v>93027316.920000017</v>
      </c>
      <c r="G55" s="445">
        <v>164587854.07999998</v>
      </c>
      <c r="H55" s="445">
        <v>142658867.35000002</v>
      </c>
      <c r="I55" s="445">
        <v>137277964.12000003</v>
      </c>
      <c r="J55" s="470"/>
    </row>
    <row r="56" spans="1:10" ht="13.5">
      <c r="A56" s="480"/>
      <c r="B56" s="480" t="s">
        <v>383</v>
      </c>
      <c r="C56" s="480"/>
      <c r="D56" s="445">
        <v>2495591.11</v>
      </c>
      <c r="E56" s="445">
        <v>715364.5</v>
      </c>
      <c r="F56" s="445">
        <v>752067.38</v>
      </c>
      <c r="G56" s="445">
        <v>527618.53</v>
      </c>
      <c r="H56" s="445">
        <v>534562.42000000004</v>
      </c>
      <c r="I56" s="445">
        <v>2506951.3899999997</v>
      </c>
      <c r="J56" s="469"/>
    </row>
    <row r="57" spans="1:10" ht="13.5">
      <c r="A57" s="481"/>
      <c r="B57" s="478"/>
      <c r="C57" s="481" t="s">
        <v>603</v>
      </c>
      <c r="D57" s="472">
        <v>48203</v>
      </c>
      <c r="E57" s="472">
        <v>23380.2</v>
      </c>
      <c r="F57" s="472">
        <v>63945.5</v>
      </c>
      <c r="G57" s="472">
        <v>104681.58</v>
      </c>
      <c r="H57" s="472">
        <v>273959.46000000002</v>
      </c>
      <c r="I57" s="472">
        <v>1265223</v>
      </c>
      <c r="J57" s="469"/>
    </row>
    <row r="58" spans="1:10" ht="13.5">
      <c r="A58" s="481"/>
      <c r="B58" s="478"/>
      <c r="C58" s="481" t="s">
        <v>435</v>
      </c>
      <c r="D58" s="472">
        <v>2362288.2599999998</v>
      </c>
      <c r="E58" s="472">
        <v>633998.30000000005</v>
      </c>
      <c r="F58" s="472">
        <v>669693.88</v>
      </c>
      <c r="G58" s="472">
        <v>421391.95</v>
      </c>
      <c r="H58" s="472">
        <v>147371.78999999998</v>
      </c>
      <c r="I58" s="472">
        <v>1202406.8899999999</v>
      </c>
      <c r="J58" s="469"/>
    </row>
    <row r="59" spans="1:10" ht="13.5">
      <c r="A59" s="481"/>
      <c r="B59" s="478"/>
      <c r="C59" s="481" t="s">
        <v>436</v>
      </c>
      <c r="D59" s="472">
        <v>66989.25</v>
      </c>
      <c r="E59" s="472">
        <v>8493</v>
      </c>
      <c r="F59" s="472">
        <v>13318</v>
      </c>
      <c r="G59" s="472">
        <v>710</v>
      </c>
      <c r="H59" s="472">
        <v>2641.7</v>
      </c>
      <c r="I59" s="472">
        <v>2503</v>
      </c>
      <c r="J59" s="469"/>
    </row>
    <row r="60" spans="1:10" ht="13.5">
      <c r="A60" s="481"/>
      <c r="B60" s="478"/>
      <c r="C60" s="481" t="s">
        <v>437</v>
      </c>
      <c r="D60" s="843" t="s">
        <v>654</v>
      </c>
      <c r="E60" s="843" t="s">
        <v>654</v>
      </c>
      <c r="F60" s="843" t="s">
        <v>654</v>
      </c>
      <c r="G60" s="472">
        <v>25</v>
      </c>
      <c r="H60" s="472">
        <v>728.8</v>
      </c>
      <c r="I60" s="472">
        <v>31804.6</v>
      </c>
      <c r="J60" s="469"/>
    </row>
    <row r="61" spans="1:10" ht="13.5">
      <c r="A61" s="481"/>
      <c r="B61" s="478"/>
      <c r="C61" s="481" t="s">
        <v>438</v>
      </c>
      <c r="D61" s="472">
        <v>18110.599999999999</v>
      </c>
      <c r="E61" s="472">
        <v>49493</v>
      </c>
      <c r="F61" s="472">
        <v>5110</v>
      </c>
      <c r="G61" s="472">
        <v>810</v>
      </c>
      <c r="H61" s="472">
        <v>109860.67</v>
      </c>
      <c r="I61" s="472">
        <v>5013.8999999999996</v>
      </c>
      <c r="J61" s="470"/>
    </row>
    <row r="62" spans="1:10" ht="13.5">
      <c r="A62" s="480"/>
      <c r="B62" s="480" t="s">
        <v>362</v>
      </c>
      <c r="C62" s="480"/>
      <c r="D62" s="445">
        <v>82361705.209999993</v>
      </c>
      <c r="E62" s="445">
        <v>107890334.77999999</v>
      </c>
      <c r="F62" s="445">
        <v>92275249.540000021</v>
      </c>
      <c r="G62" s="445">
        <v>164060235.54999998</v>
      </c>
      <c r="H62" s="445">
        <v>133442544.93000002</v>
      </c>
      <c r="I62" s="445">
        <v>134771012.73000002</v>
      </c>
      <c r="J62" s="469"/>
    </row>
    <row r="63" spans="1:10" ht="13.5">
      <c r="A63" s="481"/>
      <c r="B63" s="478"/>
      <c r="C63" s="481" t="s">
        <v>363</v>
      </c>
      <c r="D63" s="843" t="s">
        <v>654</v>
      </c>
      <c r="E63" s="843" t="s">
        <v>654</v>
      </c>
      <c r="F63" s="843" t="s">
        <v>654</v>
      </c>
      <c r="G63" s="472">
        <v>4390</v>
      </c>
      <c r="H63" s="472">
        <v>1380</v>
      </c>
      <c r="I63" s="472"/>
      <c r="J63" s="469"/>
    </row>
    <row r="64" spans="1:10" ht="13.5">
      <c r="A64" s="481"/>
      <c r="B64" s="478"/>
      <c r="C64" s="481" t="s">
        <v>439</v>
      </c>
      <c r="D64" s="472">
        <v>14743493.689999996</v>
      </c>
      <c r="E64" s="472">
        <v>20996524.709999997</v>
      </c>
      <c r="F64" s="472">
        <v>20846371.540000003</v>
      </c>
      <c r="G64" s="472">
        <v>15391502.000000002</v>
      </c>
      <c r="H64" s="472">
        <v>22219305.98</v>
      </c>
      <c r="I64" s="472">
        <v>23046944.970000003</v>
      </c>
      <c r="J64" s="469"/>
    </row>
    <row r="65" spans="1:10" ht="13.5">
      <c r="A65" s="481"/>
      <c r="B65" s="478"/>
      <c r="C65" s="481" t="s">
        <v>440</v>
      </c>
      <c r="D65" s="472">
        <v>936728.23</v>
      </c>
      <c r="E65" s="472">
        <v>765722.10999999987</v>
      </c>
      <c r="F65" s="472">
        <v>1618065.91</v>
      </c>
      <c r="G65" s="472">
        <v>1326066.54</v>
      </c>
      <c r="H65" s="472">
        <v>1518405.4200000002</v>
      </c>
      <c r="I65" s="472">
        <v>727584.7699999999</v>
      </c>
      <c r="J65" s="469"/>
    </row>
    <row r="66" spans="1:10" ht="13.5">
      <c r="A66" s="481"/>
      <c r="B66" s="478"/>
      <c r="C66" s="481" t="s">
        <v>441</v>
      </c>
      <c r="D66" s="843" t="s">
        <v>654</v>
      </c>
      <c r="E66" s="843" t="s">
        <v>654</v>
      </c>
      <c r="F66" s="472">
        <v>56923.199999999997</v>
      </c>
      <c r="G66" s="843" t="s">
        <v>654</v>
      </c>
      <c r="H66" s="472">
        <v>49520</v>
      </c>
      <c r="I66" s="472">
        <v>78004.5</v>
      </c>
      <c r="J66" s="469"/>
    </row>
    <row r="67" spans="1:10" ht="13.5">
      <c r="A67" s="481"/>
      <c r="B67" s="478"/>
      <c r="C67" s="481" t="s">
        <v>442</v>
      </c>
      <c r="D67" s="843" t="s">
        <v>654</v>
      </c>
      <c r="E67" s="843" t="s">
        <v>654</v>
      </c>
      <c r="F67" s="843" t="s">
        <v>654</v>
      </c>
      <c r="G67" s="472">
        <v>91110107.849999979</v>
      </c>
      <c r="H67" s="843" t="s">
        <v>654</v>
      </c>
      <c r="I67" s="843" t="s">
        <v>654</v>
      </c>
      <c r="J67" s="469"/>
    </row>
    <row r="68" spans="1:10" ht="13.5">
      <c r="A68" s="481"/>
      <c r="B68" s="478"/>
      <c r="C68" s="481" t="s">
        <v>443</v>
      </c>
      <c r="D68" s="472">
        <v>55366842.210000001</v>
      </c>
      <c r="E68" s="472">
        <v>71288122.340000004</v>
      </c>
      <c r="F68" s="472">
        <v>53609041.680000007</v>
      </c>
      <c r="G68" s="472">
        <v>42831148.199999996</v>
      </c>
      <c r="H68" s="472">
        <v>90752531.200000018</v>
      </c>
      <c r="I68" s="472">
        <v>90062798.89000003</v>
      </c>
      <c r="J68" s="469"/>
    </row>
    <row r="69" spans="1:10" ht="13.5">
      <c r="A69" s="481"/>
      <c r="B69" s="478"/>
      <c r="C69" s="481" t="s">
        <v>444</v>
      </c>
      <c r="D69" s="472">
        <v>4196976.330000001</v>
      </c>
      <c r="E69" s="472">
        <v>6449354.879999999</v>
      </c>
      <c r="F69" s="472">
        <v>6677563.7699999986</v>
      </c>
      <c r="G69" s="472">
        <v>4711657.28</v>
      </c>
      <c r="H69" s="472">
        <v>7812290.1499999994</v>
      </c>
      <c r="I69" s="472">
        <v>10673536.850000001</v>
      </c>
      <c r="J69" s="469"/>
    </row>
    <row r="70" spans="1:10" ht="13.5">
      <c r="A70" s="481"/>
      <c r="B70" s="478"/>
      <c r="C70" s="481" t="s">
        <v>445</v>
      </c>
      <c r="D70" s="472">
        <v>1670436.31</v>
      </c>
      <c r="E70" s="472">
        <v>1024041.3500000002</v>
      </c>
      <c r="F70" s="472">
        <v>1743157.6100000003</v>
      </c>
      <c r="G70" s="472">
        <v>1457715.09</v>
      </c>
      <c r="H70" s="472">
        <v>2228681.5699999998</v>
      </c>
      <c r="I70" s="472">
        <v>2417012.87</v>
      </c>
      <c r="J70" s="469"/>
    </row>
    <row r="71" spans="1:10" ht="13.5">
      <c r="A71" s="481"/>
      <c r="B71" s="478"/>
      <c r="C71" s="481" t="s">
        <v>446</v>
      </c>
      <c r="D71" s="472">
        <v>4474720.2200000007</v>
      </c>
      <c r="E71" s="472">
        <v>5169115.7700000005</v>
      </c>
      <c r="F71" s="472">
        <v>6037896.6799999997</v>
      </c>
      <c r="G71" s="472">
        <v>5261974.8000000007</v>
      </c>
      <c r="H71" s="472">
        <v>2742826.08</v>
      </c>
      <c r="I71" s="472">
        <v>2006947.58</v>
      </c>
      <c r="J71" s="469"/>
    </row>
    <row r="72" spans="1:10" ht="13.5">
      <c r="A72" s="481"/>
      <c r="B72" s="478"/>
      <c r="C72" s="481" t="s">
        <v>447</v>
      </c>
      <c r="D72" s="472">
        <v>972508.22000000009</v>
      </c>
      <c r="E72" s="472">
        <v>2197453.6199999996</v>
      </c>
      <c r="F72" s="472">
        <v>1686229.15</v>
      </c>
      <c r="G72" s="472">
        <v>1965673.79</v>
      </c>
      <c r="H72" s="472">
        <v>6117604.5300000003</v>
      </c>
      <c r="I72" s="472">
        <v>5758182.2999999998</v>
      </c>
      <c r="J72" s="470"/>
    </row>
    <row r="73" spans="1:10" ht="13.5">
      <c r="A73" s="480"/>
      <c r="B73" s="480" t="s">
        <v>384</v>
      </c>
      <c r="C73" s="480"/>
      <c r="D73" s="843" t="s">
        <v>654</v>
      </c>
      <c r="E73" s="843" t="s">
        <v>654</v>
      </c>
      <c r="F73" s="843" t="s">
        <v>654</v>
      </c>
      <c r="G73" s="843" t="s">
        <v>654</v>
      </c>
      <c r="H73" s="445">
        <v>8681760</v>
      </c>
      <c r="I73" s="843" t="s">
        <v>654</v>
      </c>
      <c r="J73" s="469"/>
    </row>
    <row r="74" spans="1:10" ht="13.5">
      <c r="A74" s="481"/>
      <c r="B74" s="481"/>
      <c r="C74" s="481" t="s">
        <v>454</v>
      </c>
      <c r="D74" s="843" t="s">
        <v>654</v>
      </c>
      <c r="E74" s="843" t="s">
        <v>654</v>
      </c>
      <c r="F74" s="843" t="s">
        <v>654</v>
      </c>
      <c r="G74" s="843" t="s">
        <v>654</v>
      </c>
      <c r="H74" s="472">
        <v>8681760</v>
      </c>
      <c r="I74" s="843" t="s">
        <v>654</v>
      </c>
      <c r="J74" s="470"/>
    </row>
    <row r="75" spans="1:10" ht="13.5">
      <c r="A75" s="482" t="s">
        <v>374</v>
      </c>
      <c r="B75" s="478"/>
      <c r="C75" s="478"/>
      <c r="D75" s="445">
        <v>43343.341925539949</v>
      </c>
      <c r="E75" s="445">
        <v>69166.519488100646</v>
      </c>
      <c r="F75" s="445">
        <v>46882.464289573509</v>
      </c>
      <c r="G75" s="445">
        <v>51194.737612126148</v>
      </c>
      <c r="H75" s="445">
        <v>220417.11877099113</v>
      </c>
      <c r="I75" s="445">
        <v>52917.10709934566</v>
      </c>
      <c r="J75" s="470"/>
    </row>
    <row r="76" spans="1:10" ht="13.5">
      <c r="A76" s="480"/>
      <c r="B76" s="480" t="s">
        <v>375</v>
      </c>
      <c r="C76" s="480"/>
      <c r="D76" s="445">
        <v>43343.341925539949</v>
      </c>
      <c r="E76" s="445">
        <v>69166.519488100646</v>
      </c>
      <c r="F76" s="445">
        <v>46882.464289573509</v>
      </c>
      <c r="G76" s="445">
        <v>51194.737612126148</v>
      </c>
      <c r="H76" s="445">
        <v>220417.11877099113</v>
      </c>
      <c r="I76" s="445">
        <v>52917.10709934566</v>
      </c>
      <c r="J76" s="469"/>
    </row>
    <row r="77" spans="1:10" ht="13.5">
      <c r="A77" s="481"/>
      <c r="B77" s="478"/>
      <c r="C77" s="481" t="s">
        <v>375</v>
      </c>
      <c r="D77" s="472">
        <v>43343.341925539949</v>
      </c>
      <c r="E77" s="472">
        <v>69166.519488100646</v>
      </c>
      <c r="F77" s="472">
        <v>46882.464289573509</v>
      </c>
      <c r="G77" s="472">
        <v>51194.737612126148</v>
      </c>
      <c r="H77" s="472">
        <v>220417.11877099113</v>
      </c>
      <c r="I77" s="472">
        <v>52917.10709934566</v>
      </c>
      <c r="J77" s="470"/>
    </row>
    <row r="78" spans="1:10" ht="13.5">
      <c r="A78" s="482" t="s">
        <v>393</v>
      </c>
      <c r="B78" s="478"/>
      <c r="C78" s="478"/>
      <c r="D78" s="445">
        <v>335934.36</v>
      </c>
      <c r="E78" s="843" t="s">
        <v>654</v>
      </c>
      <c r="F78" s="445">
        <v>2511523.0100000002</v>
      </c>
      <c r="G78" s="445">
        <v>4693379.379999999</v>
      </c>
      <c r="H78" s="445">
        <v>7557179.5800000001</v>
      </c>
      <c r="I78" s="445">
        <v>7281099.0899999989</v>
      </c>
      <c r="J78" s="470"/>
    </row>
    <row r="79" spans="1:10" ht="13.5">
      <c r="A79" s="480"/>
      <c r="B79" s="480" t="s">
        <v>434</v>
      </c>
      <c r="C79" s="480"/>
      <c r="D79" s="427">
        <v>335934.36</v>
      </c>
      <c r="E79" s="843" t="s">
        <v>654</v>
      </c>
      <c r="F79" s="427">
        <v>2511523.0100000002</v>
      </c>
      <c r="G79" s="427">
        <v>4693379.379999999</v>
      </c>
      <c r="H79" s="427">
        <v>7557179.5800000001</v>
      </c>
      <c r="I79" s="427">
        <v>7265589.0899999989</v>
      </c>
      <c r="J79" s="469"/>
    </row>
    <row r="80" spans="1:10" ht="13.5">
      <c r="A80" s="481"/>
      <c r="B80" s="478"/>
      <c r="C80" s="481" t="s">
        <v>448</v>
      </c>
      <c r="D80" s="430">
        <v>335934.36</v>
      </c>
      <c r="E80" s="843" t="s">
        <v>654</v>
      </c>
      <c r="F80" s="430">
        <v>2511523.0100000002</v>
      </c>
      <c r="G80" s="430">
        <v>4537201.4899999993</v>
      </c>
      <c r="H80" s="430">
        <v>7557179.5800000001</v>
      </c>
      <c r="I80" s="430">
        <v>7093198.9099999992</v>
      </c>
      <c r="J80" s="469"/>
    </row>
    <row r="81" spans="1:10" ht="13.5">
      <c r="A81" s="481"/>
      <c r="B81" s="478"/>
      <c r="C81" s="481" t="s">
        <v>449</v>
      </c>
      <c r="D81" s="843" t="s">
        <v>654</v>
      </c>
      <c r="E81" s="843" t="s">
        <v>654</v>
      </c>
      <c r="F81" s="843" t="s">
        <v>654</v>
      </c>
      <c r="G81" s="430">
        <v>156177.89000000001</v>
      </c>
      <c r="H81" s="843" t="s">
        <v>654</v>
      </c>
      <c r="I81" s="430">
        <v>172390.18</v>
      </c>
      <c r="J81" s="470"/>
    </row>
    <row r="82" spans="1:10" ht="13.5">
      <c r="A82" s="480"/>
      <c r="B82" s="480" t="s">
        <v>387</v>
      </c>
      <c r="C82" s="478"/>
      <c r="D82" s="843" t="s">
        <v>654</v>
      </c>
      <c r="E82" s="843" t="s">
        <v>654</v>
      </c>
      <c r="F82" s="843" t="s">
        <v>654</v>
      </c>
      <c r="G82" s="843" t="s">
        <v>654</v>
      </c>
      <c r="H82" s="843" t="s">
        <v>654</v>
      </c>
      <c r="I82" s="427">
        <v>15510</v>
      </c>
      <c r="J82" s="469"/>
    </row>
    <row r="83" spans="1:10" ht="13.5">
      <c r="A83" s="481"/>
      <c r="B83" s="478"/>
      <c r="C83" s="481" t="s">
        <v>450</v>
      </c>
      <c r="D83" s="843" t="s">
        <v>654</v>
      </c>
      <c r="E83" s="843" t="s">
        <v>654</v>
      </c>
      <c r="F83" s="843" t="s">
        <v>654</v>
      </c>
      <c r="G83" s="843" t="s">
        <v>654</v>
      </c>
      <c r="H83" s="843" t="s">
        <v>654</v>
      </c>
      <c r="I83" s="430">
        <v>15510</v>
      </c>
      <c r="J83" s="471"/>
    </row>
    <row r="84" spans="1:10" ht="13.5">
      <c r="A84" s="483" t="s">
        <v>572</v>
      </c>
      <c r="B84" s="484"/>
      <c r="C84" s="484"/>
      <c r="D84" s="473">
        <v>94669310.581925541</v>
      </c>
      <c r="E84" s="473">
        <v>117287898.77948809</v>
      </c>
      <c r="F84" s="473">
        <v>103593048.87428959</v>
      </c>
      <c r="G84" s="473">
        <v>173925640.5776121</v>
      </c>
      <c r="H84" s="473">
        <v>154938427.698771</v>
      </c>
      <c r="I84" s="473">
        <v>153422335.20709941</v>
      </c>
    </row>
    <row r="85" spans="1:10" ht="13.5">
      <c r="B85" s="478"/>
      <c r="C85" s="478"/>
      <c r="D85" s="383"/>
      <c r="E85" s="383"/>
      <c r="F85" s="383"/>
      <c r="G85" s="383"/>
      <c r="H85" s="383"/>
      <c r="I85" s="383"/>
    </row>
    <row r="86" spans="1:10">
      <c r="A86" s="828" t="s">
        <v>554</v>
      </c>
    </row>
  </sheetData>
  <mergeCells count="5">
    <mergeCell ref="A2:I2"/>
    <mergeCell ref="A3:I3"/>
    <mergeCell ref="A4:I4"/>
    <mergeCell ref="A5:I5"/>
    <mergeCell ref="A7:C8"/>
  </mergeCells>
  <hyperlinks>
    <hyperlink ref="A1" location="Indice!A1" display="Cuadro 5.2 Porcentaje del presupuesto asignado a entidades destinado a actividades de medio ambiente o recursos naturales"/>
  </hyperlinks>
  <pageMargins left="0.70866141732283472" right="0.70866141732283472" top="0.74803149606299213" bottom="0.35433070866141736" header="0.31496062992125984" footer="0.31496062992125984"/>
  <pageSetup scale="63" orientation="portrait" r:id="rId1"/>
</worksheet>
</file>

<file path=xl/worksheets/sheet5.xml><?xml version="1.0" encoding="utf-8"?>
<worksheet xmlns="http://schemas.openxmlformats.org/spreadsheetml/2006/main" xmlns:r="http://schemas.openxmlformats.org/officeDocument/2006/relationships">
  <sheetPr>
    <tabColor theme="3" tint="0.39997558519241921"/>
    <pageSetUpPr fitToPage="1"/>
  </sheetPr>
  <dimension ref="A1:I27"/>
  <sheetViews>
    <sheetView showGridLines="0" topLeftCell="A2" workbookViewId="0">
      <selection activeCell="C2" sqref="C2"/>
    </sheetView>
  </sheetViews>
  <sheetFormatPr baseColWidth="10" defaultRowHeight="12.75"/>
  <cols>
    <col min="1" max="2" width="0.6640625" style="44" customWidth="1"/>
    <col min="3" max="3" width="54.6640625" style="44" customWidth="1"/>
    <col min="4" max="4" width="15.6640625" style="44" customWidth="1"/>
    <col min="5" max="5" width="13.83203125" style="44" customWidth="1"/>
    <col min="6" max="6" width="14.6640625" style="44" customWidth="1"/>
    <col min="7" max="7" width="15.5" style="44" customWidth="1"/>
    <col min="8" max="8" width="15.33203125" style="44" customWidth="1"/>
    <col min="9" max="9" width="14.33203125" style="44" customWidth="1"/>
    <col min="10" max="16384" width="12" style="44"/>
  </cols>
  <sheetData>
    <row r="1" spans="1:9" hidden="1">
      <c r="A1" s="269" t="s">
        <v>218</v>
      </c>
      <c r="C1" s="48" t="s">
        <v>203</v>
      </c>
      <c r="D1" s="260"/>
      <c r="E1" s="259"/>
      <c r="F1" s="259"/>
      <c r="G1" s="260"/>
      <c r="H1" s="260"/>
      <c r="I1" s="260"/>
    </row>
    <row r="2" spans="1:9">
      <c r="A2" s="2"/>
      <c r="C2" s="261"/>
      <c r="D2" s="260"/>
      <c r="E2" s="262" t="s">
        <v>166</v>
      </c>
      <c r="F2" s="259"/>
      <c r="G2" s="259"/>
      <c r="H2" s="259"/>
      <c r="I2" s="259"/>
    </row>
    <row r="3" spans="1:9" ht="15">
      <c r="A3" s="2"/>
      <c r="C3" s="262"/>
      <c r="D3" s="263"/>
      <c r="E3" s="533" t="s">
        <v>584</v>
      </c>
      <c r="F3" s="263"/>
      <c r="G3" s="263"/>
      <c r="H3" s="263"/>
      <c r="I3" s="260"/>
    </row>
    <row r="4" spans="1:9">
      <c r="A4" s="2"/>
      <c r="C4" s="259"/>
      <c r="D4" s="259"/>
      <c r="E4" s="264" t="s">
        <v>2</v>
      </c>
      <c r="F4" s="260"/>
      <c r="G4" s="259"/>
      <c r="H4" s="259"/>
      <c r="I4" s="259"/>
    </row>
    <row r="5" spans="1:9">
      <c r="A5" s="2"/>
      <c r="C5" s="259"/>
      <c r="D5" s="259"/>
      <c r="E5" s="264" t="s">
        <v>224</v>
      </c>
      <c r="F5" s="259"/>
      <c r="G5" s="259"/>
      <c r="H5" s="259"/>
      <c r="I5" s="259"/>
    </row>
    <row r="6" spans="1:9">
      <c r="A6" s="2"/>
      <c r="C6" s="259"/>
      <c r="D6" s="259"/>
      <c r="E6" s="264" t="s">
        <v>28</v>
      </c>
      <c r="F6" s="259"/>
      <c r="G6" s="259"/>
      <c r="H6" s="259"/>
      <c r="I6" s="259"/>
    </row>
    <row r="7" spans="1:9">
      <c r="A7" s="2"/>
      <c r="D7" s="259"/>
      <c r="F7" s="259"/>
      <c r="G7" s="259"/>
      <c r="H7" s="259"/>
      <c r="I7" s="259"/>
    </row>
    <row r="8" spans="1:9">
      <c r="A8" s="600" t="s">
        <v>157</v>
      </c>
      <c r="B8" s="600"/>
      <c r="C8" s="600"/>
      <c r="D8" s="619">
        <v>2005</v>
      </c>
      <c r="E8" s="619"/>
      <c r="F8" s="619"/>
      <c r="G8" s="617">
        <v>2006</v>
      </c>
      <c r="H8" s="618"/>
      <c r="I8" s="618"/>
    </row>
    <row r="9" spans="1:9">
      <c r="A9" s="601"/>
      <c r="B9" s="601"/>
      <c r="C9" s="601"/>
      <c r="D9" s="615" t="s">
        <v>205</v>
      </c>
      <c r="E9" s="615" t="s">
        <v>0</v>
      </c>
      <c r="F9" s="615" t="s">
        <v>559</v>
      </c>
      <c r="G9" s="600" t="s">
        <v>205</v>
      </c>
      <c r="H9" s="600" t="s">
        <v>0</v>
      </c>
      <c r="I9" s="600" t="s">
        <v>559</v>
      </c>
    </row>
    <row r="10" spans="1:9">
      <c r="A10" s="602"/>
      <c r="B10" s="602"/>
      <c r="C10" s="602"/>
      <c r="D10" s="616"/>
      <c r="E10" s="616"/>
      <c r="F10" s="616"/>
      <c r="G10" s="602"/>
      <c r="H10" s="602"/>
      <c r="I10" s="602"/>
    </row>
    <row r="11" spans="1:9">
      <c r="A11" s="265" t="s">
        <v>211</v>
      </c>
      <c r="B11" s="265"/>
      <c r="C11" s="265"/>
      <c r="D11" s="266"/>
      <c r="E11" s="266"/>
      <c r="F11" s="266"/>
      <c r="G11" s="266"/>
      <c r="H11" s="266"/>
      <c r="I11" s="266"/>
    </row>
    <row r="12" spans="1:9">
      <c r="A12" s="97"/>
      <c r="B12" s="97"/>
      <c r="C12" s="812" t="s">
        <v>585</v>
      </c>
      <c r="D12" s="243">
        <f>493139.344/1000000</f>
        <v>0.49313934399999998</v>
      </c>
      <c r="E12" s="243">
        <f>1364513.916/1000000</f>
        <v>1.3645139159999999</v>
      </c>
      <c r="F12" s="243">
        <f>1857653.26/1000000</f>
        <v>1.85765326</v>
      </c>
      <c r="G12" s="243">
        <f>35081857.3427/1000000</f>
        <v>35.081857342699998</v>
      </c>
      <c r="H12" s="243">
        <f>112456011.8173/1000000</f>
        <v>112.45601181730001</v>
      </c>
      <c r="I12" s="243">
        <f>147537869.16/1000000</f>
        <v>147.53786915999999</v>
      </c>
    </row>
    <row r="13" spans="1:9">
      <c r="A13" s="97"/>
      <c r="B13" s="97"/>
      <c r="C13" s="812" t="s">
        <v>161</v>
      </c>
      <c r="D13" s="243">
        <f>1017474.98/1000000</f>
        <v>1.01747498</v>
      </c>
      <c r="E13" s="243">
        <f>691133.98/1000000</f>
        <v>0.69113398000000004</v>
      </c>
      <c r="F13" s="243">
        <f>1708608.96/1000000</f>
        <v>1.7086089600000001</v>
      </c>
      <c r="G13" s="243">
        <f>29900308.56/1000000</f>
        <v>29.900308559999999</v>
      </c>
      <c r="H13" s="243">
        <f>5549968.84/1000000</f>
        <v>5.54996884</v>
      </c>
      <c r="I13" s="243">
        <f>35450277.4/1000000</f>
        <v>35.450277399999997</v>
      </c>
    </row>
    <row r="14" spans="1:9">
      <c r="A14" s="97"/>
      <c r="B14" s="97"/>
      <c r="C14" s="177" t="s">
        <v>9</v>
      </c>
      <c r="D14" s="243">
        <f>156582.281/1000000</f>
        <v>0.15658228099999999</v>
      </c>
      <c r="E14" s="243"/>
      <c r="F14" s="243">
        <f>156582.28/1000000</f>
        <v>0.15658227999999999</v>
      </c>
      <c r="G14" s="243">
        <f>5256463.63/1000000</f>
        <v>5.2564636299999998</v>
      </c>
      <c r="H14" s="243">
        <f>99164.01/1000000</f>
        <v>9.9164009999999997E-2</v>
      </c>
      <c r="I14" s="243">
        <f>5355627.64/1000000</f>
        <v>5.3556276399999998</v>
      </c>
    </row>
    <row r="15" spans="1:9">
      <c r="A15" s="97"/>
      <c r="B15" s="97"/>
      <c r="C15" s="177" t="s">
        <v>11</v>
      </c>
      <c r="D15" s="243">
        <f>49795.04/1000000</f>
        <v>4.9795039999999999E-2</v>
      </c>
      <c r="E15" s="243"/>
      <c r="F15" s="243">
        <f>49795.04/1000000</f>
        <v>4.9795039999999999E-2</v>
      </c>
      <c r="G15" s="243">
        <f>3765768.07/1000000</f>
        <v>3.76576807</v>
      </c>
      <c r="H15" s="243">
        <f>49125/1000000</f>
        <v>4.9125000000000002E-2</v>
      </c>
      <c r="I15" s="243">
        <f>3814893.07/1000000</f>
        <v>3.8148930699999997</v>
      </c>
    </row>
    <row r="16" spans="1:9" s="635" customFormat="1">
      <c r="A16" s="638"/>
      <c r="B16" s="639" t="s">
        <v>556</v>
      </c>
      <c r="C16" s="639"/>
      <c r="D16" s="636">
        <f>1716991.644/1000000</f>
        <v>1.7169916440000002</v>
      </c>
      <c r="E16" s="636">
        <f>2055647.896/1000000</f>
        <v>2.055647896</v>
      </c>
      <c r="F16" s="636">
        <f>3772639.54/1000000</f>
        <v>3.7726395400000001</v>
      </c>
      <c r="G16" s="636">
        <f>74004397.6027/1000000</f>
        <v>74.004397602699996</v>
      </c>
      <c r="H16" s="636">
        <f>118154269.6673/1000000</f>
        <v>118.1542696673</v>
      </c>
      <c r="I16" s="636">
        <f>192158667.27/1000000</f>
        <v>192.15866727000002</v>
      </c>
    </row>
    <row r="17" spans="1:9">
      <c r="A17" s="258" t="s">
        <v>212</v>
      </c>
      <c r="B17" s="258"/>
      <c r="C17" s="258"/>
      <c r="D17" s="248"/>
      <c r="E17" s="248"/>
      <c r="F17" s="248"/>
      <c r="G17" s="248"/>
      <c r="H17" s="248"/>
      <c r="I17" s="248"/>
    </row>
    <row r="18" spans="1:9">
      <c r="A18" s="97"/>
      <c r="B18" s="97"/>
      <c r="C18" s="177" t="s">
        <v>13</v>
      </c>
      <c r="D18" s="243">
        <f>2548840.2862/1000000</f>
        <v>2.5488402861999999</v>
      </c>
      <c r="E18" s="243">
        <f>6459467.0938/1000000</f>
        <v>6.4594670937999998</v>
      </c>
      <c r="F18" s="243">
        <f>9008307.38/1000000</f>
        <v>9.0083073800000015</v>
      </c>
      <c r="G18" s="243">
        <f>112872387.9125/1000000</f>
        <v>112.87238791249999</v>
      </c>
      <c r="H18" s="243">
        <f>297728871.1875/1000000</f>
        <v>297.72887118749998</v>
      </c>
      <c r="I18" s="243">
        <f>410601259.1/1000000</f>
        <v>410.60125910000005</v>
      </c>
    </row>
    <row r="19" spans="1:9">
      <c r="A19" s="97"/>
      <c r="B19" s="97"/>
      <c r="C19" s="177" t="s">
        <v>14</v>
      </c>
      <c r="D19" s="243">
        <f>310286.06/1000000</f>
        <v>0.31028605999999997</v>
      </c>
      <c r="E19" s="243"/>
      <c r="F19" s="243">
        <f>310286.06/1000000</f>
        <v>0.31028605999999997</v>
      </c>
      <c r="G19" s="243">
        <f>2120472.22/1000000</f>
        <v>2.1204722200000004</v>
      </c>
      <c r="H19" s="243"/>
      <c r="I19" s="243">
        <f>2120472.22/1000000</f>
        <v>2.1204722200000004</v>
      </c>
    </row>
    <row r="20" spans="1:9" s="635" customFormat="1">
      <c r="A20" s="638"/>
      <c r="B20" s="639" t="s">
        <v>557</v>
      </c>
      <c r="C20" s="639"/>
      <c r="D20" s="636">
        <f>2859126.3462/1000000</f>
        <v>2.8591263462000001</v>
      </c>
      <c r="E20" s="636">
        <f>6459467.0938/1000000</f>
        <v>6.4594670937999998</v>
      </c>
      <c r="F20" s="636">
        <f>9318593.44/1000000</f>
        <v>9.318593439999999</v>
      </c>
      <c r="G20" s="636">
        <f>114992860.1325/1000000</f>
        <v>114.9928601325</v>
      </c>
      <c r="H20" s="636">
        <f>297728871.1875/1000000</f>
        <v>297.72887118749998</v>
      </c>
      <c r="I20" s="636">
        <f>412721731.32/1000000</f>
        <v>412.72173132</v>
      </c>
    </row>
    <row r="21" spans="1:9" ht="15">
      <c r="A21" s="180" t="s">
        <v>589</v>
      </c>
      <c r="B21" s="180"/>
      <c r="C21" s="267"/>
      <c r="D21" s="250">
        <f>4576117.9902/1000000</f>
        <v>4.5761179902000002</v>
      </c>
      <c r="E21" s="250">
        <f>8515114.9898/1000000</f>
        <v>8.5151149898000007</v>
      </c>
      <c r="F21" s="250">
        <f>13091232.98/1000000</f>
        <v>13.091232980000001</v>
      </c>
      <c r="G21" s="250">
        <f>188997257.7352/1000000</f>
        <v>188.99725773519998</v>
      </c>
      <c r="H21" s="250">
        <f>415883140.8548/1000000</f>
        <v>415.88314085479999</v>
      </c>
      <c r="I21" s="250">
        <f>604880398.59/1000000</f>
        <v>604.88039859000003</v>
      </c>
    </row>
    <row r="22" spans="1:9">
      <c r="A22" s="270" t="s">
        <v>548</v>
      </c>
    </row>
    <row r="23" spans="1:9">
      <c r="A23" s="270" t="s">
        <v>549</v>
      </c>
    </row>
    <row r="24" spans="1:9" ht="15">
      <c r="B24" s="813" t="s">
        <v>587</v>
      </c>
    </row>
    <row r="25" spans="1:9" ht="15">
      <c r="A25" s="270" t="s">
        <v>586</v>
      </c>
      <c r="D25" s="259"/>
      <c r="E25" s="259"/>
      <c r="F25" s="259"/>
      <c r="G25" s="259"/>
      <c r="H25" s="259"/>
      <c r="I25" s="259"/>
    </row>
    <row r="27" spans="1:9">
      <c r="A27" s="40" t="s">
        <v>170</v>
      </c>
    </row>
  </sheetData>
  <mergeCells count="9">
    <mergeCell ref="H9:H10"/>
    <mergeCell ref="I9:I10"/>
    <mergeCell ref="A8:C10"/>
    <mergeCell ref="D9:D10"/>
    <mergeCell ref="E9:E10"/>
    <mergeCell ref="F9:F10"/>
    <mergeCell ref="G9:G10"/>
    <mergeCell ref="G8:I8"/>
    <mergeCell ref="D8:F8"/>
  </mergeCells>
  <hyperlinks>
    <hyperlink ref="C1" location="Indice!C1" display="Cuadro 2. Gasto ambiental de gobiernos locales (municipales) por clasificaciones CAPA y CGRN, millones de quetzales corrientes, incluye agua y saneamiento "/>
    <hyperlink ref="A1" location="Indice!A1" display="Indice!A1"/>
  </hyperlinks>
  <pageMargins left="0.7" right="0.7" top="0.75" bottom="0.75" header="0.3" footer="0.3"/>
  <pageSetup scale="76" orientation="portrait" r:id="rId1"/>
</worksheet>
</file>

<file path=xl/worksheets/sheet50.xml><?xml version="1.0" encoding="utf-8"?>
<worksheet xmlns="http://schemas.openxmlformats.org/spreadsheetml/2006/main" xmlns:r="http://schemas.openxmlformats.org/officeDocument/2006/relationships">
  <sheetPr>
    <pageSetUpPr fitToPage="1"/>
  </sheetPr>
  <dimension ref="A1:E32"/>
  <sheetViews>
    <sheetView showGridLines="0" topLeftCell="A8" workbookViewId="0">
      <selection activeCell="A8" sqref="A8:E8"/>
    </sheetView>
  </sheetViews>
  <sheetFormatPr baseColWidth="10" defaultRowHeight="12.75"/>
  <cols>
    <col min="1" max="1" width="1.83203125" customWidth="1"/>
    <col min="2" max="2" width="38.5" style="420" customWidth="1"/>
    <col min="3" max="3" width="18.6640625" customWidth="1"/>
    <col min="4" max="4" width="17.6640625" customWidth="1"/>
    <col min="5" max="5" width="19.1640625" customWidth="1"/>
  </cols>
  <sheetData>
    <row r="1" spans="1:5" ht="13.5" hidden="1">
      <c r="A1" s="7" t="s">
        <v>467</v>
      </c>
      <c r="B1" s="456"/>
    </row>
    <row r="2" spans="1:5" hidden="1"/>
    <row r="3" spans="1:5" hidden="1"/>
    <row r="4" spans="1:5" hidden="1"/>
    <row r="5" spans="1:5" hidden="1"/>
    <row r="6" spans="1:5" hidden="1"/>
    <row r="7" spans="1:5" hidden="1"/>
    <row r="8" spans="1:5">
      <c r="A8" s="537" t="s">
        <v>456</v>
      </c>
      <c r="B8" s="537"/>
      <c r="C8" s="537"/>
      <c r="D8" s="537"/>
      <c r="E8" s="537"/>
    </row>
    <row r="9" spans="1:5" ht="27" customHeight="1">
      <c r="A9" s="540" t="s">
        <v>464</v>
      </c>
      <c r="B9" s="540"/>
      <c r="C9" s="540"/>
      <c r="D9" s="540"/>
      <c r="E9" s="540"/>
    </row>
    <row r="10" spans="1:5" ht="13.5">
      <c r="A10" s="566" t="s">
        <v>458</v>
      </c>
      <c r="B10" s="566"/>
      <c r="C10" s="566"/>
      <c r="D10" s="566"/>
      <c r="E10" s="566"/>
    </row>
    <row r="11" spans="1:5" s="529" customFormat="1" ht="13.5">
      <c r="A11" s="775" t="s">
        <v>392</v>
      </c>
      <c r="B11" s="775"/>
      <c r="C11" s="775"/>
      <c r="D11" s="775"/>
      <c r="E11" s="775"/>
    </row>
    <row r="13" spans="1:5" ht="13.5">
      <c r="A13" s="779" t="s">
        <v>380</v>
      </c>
      <c r="B13" s="779"/>
      <c r="C13" s="778">
        <v>2004</v>
      </c>
      <c r="D13" s="778">
        <v>2005</v>
      </c>
      <c r="E13" s="778">
        <v>2006</v>
      </c>
    </row>
    <row r="14" spans="1:5" ht="13.5">
      <c r="A14" s="476" t="s">
        <v>339</v>
      </c>
      <c r="B14" s="474"/>
      <c r="C14" s="448"/>
      <c r="D14" s="448"/>
      <c r="E14" s="448"/>
    </row>
    <row r="15" spans="1:5" ht="13.5">
      <c r="B15" s="475" t="s">
        <v>340</v>
      </c>
      <c r="C15" s="451">
        <v>1905818925.9258366</v>
      </c>
      <c r="D15" s="451">
        <v>863992810.69057751</v>
      </c>
      <c r="E15" s="451">
        <v>1997536607.2684021</v>
      </c>
    </row>
    <row r="16" spans="1:5" ht="13.5">
      <c r="B16" s="475" t="s">
        <v>356</v>
      </c>
      <c r="C16" s="451">
        <v>212298317.35627037</v>
      </c>
      <c r="D16" s="451">
        <v>247131466.89832169</v>
      </c>
      <c r="E16" s="451">
        <v>246953763.87125915</v>
      </c>
    </row>
    <row r="17" spans="1:5" ht="13.5">
      <c r="A17" s="476" t="s">
        <v>459</v>
      </c>
      <c r="B17" s="476"/>
      <c r="C17" s="452">
        <v>2118117243.2821069</v>
      </c>
      <c r="D17" s="452">
        <v>1111124277.5888994</v>
      </c>
      <c r="E17" s="452">
        <v>2244490371.1396613</v>
      </c>
    </row>
    <row r="18" spans="1:5" ht="13.5">
      <c r="A18" s="476" t="s">
        <v>361</v>
      </c>
      <c r="B18" s="476"/>
      <c r="C18" s="452">
        <v>0</v>
      </c>
      <c r="D18" s="452">
        <v>0</v>
      </c>
      <c r="E18" s="452">
        <v>0</v>
      </c>
    </row>
    <row r="19" spans="1:5" ht="13.5">
      <c r="B19" s="475" t="s">
        <v>362</v>
      </c>
      <c r="C19" s="451">
        <v>11512850.837757049</v>
      </c>
      <c r="D19" s="451">
        <v>10708810.16217522</v>
      </c>
      <c r="E19" s="451">
        <v>11327675.70817193</v>
      </c>
    </row>
    <row r="20" spans="1:5" ht="13.5">
      <c r="B20" s="475" t="s">
        <v>364</v>
      </c>
      <c r="C20" s="451">
        <v>6242474.2438996732</v>
      </c>
      <c r="D20" s="451">
        <v>5870075.923947799</v>
      </c>
      <c r="E20" s="451">
        <v>4875525.8873869097</v>
      </c>
    </row>
    <row r="21" spans="1:5" ht="13.5">
      <c r="B21" s="475" t="s">
        <v>366</v>
      </c>
      <c r="C21" s="451">
        <v>4755532.828017503</v>
      </c>
      <c r="D21" s="451">
        <v>2274522.2705938369</v>
      </c>
      <c r="E21" s="451">
        <v>3590993.4269331666</v>
      </c>
    </row>
    <row r="22" spans="1:5" ht="13.5">
      <c r="B22" s="475" t="s">
        <v>372</v>
      </c>
      <c r="C22" s="451">
        <v>0</v>
      </c>
      <c r="D22" s="451">
        <v>79858.117960476375</v>
      </c>
      <c r="E22" s="451">
        <v>120335.16265852662</v>
      </c>
    </row>
    <row r="23" spans="1:5" ht="13.5">
      <c r="A23" s="476" t="s">
        <v>460</v>
      </c>
      <c r="B23" s="476"/>
      <c r="C23" s="452">
        <v>22510857.909674224</v>
      </c>
      <c r="D23" s="452">
        <v>18933266.474677332</v>
      </c>
      <c r="E23" s="452">
        <v>19914530.185150534</v>
      </c>
    </row>
    <row r="24" spans="1:5" ht="13.5">
      <c r="A24" s="476" t="s">
        <v>374</v>
      </c>
      <c r="B24" s="476"/>
      <c r="C24" s="452">
        <v>0</v>
      </c>
      <c r="D24" s="452">
        <v>0</v>
      </c>
      <c r="E24" s="452">
        <v>0</v>
      </c>
    </row>
    <row r="25" spans="1:5" ht="13.5">
      <c r="B25" s="475" t="s">
        <v>461</v>
      </c>
      <c r="C25" s="451">
        <v>149949.78497820604</v>
      </c>
      <c r="D25" s="451">
        <v>67174.866810713167</v>
      </c>
      <c r="E25" s="451">
        <v>71695.373773333311</v>
      </c>
    </row>
    <row r="26" spans="1:5" ht="13.5">
      <c r="A26" s="476" t="s">
        <v>462</v>
      </c>
      <c r="B26" s="476"/>
      <c r="C26" s="452">
        <v>149949.78497820604</v>
      </c>
      <c r="D26" s="452">
        <v>67174.866810713167</v>
      </c>
      <c r="E26" s="452">
        <v>71695.373773333311</v>
      </c>
    </row>
    <row r="27" spans="1:5" ht="13.5">
      <c r="A27" s="476" t="s">
        <v>378</v>
      </c>
      <c r="B27" s="476"/>
      <c r="C27" s="452">
        <v>2140778050.9767592</v>
      </c>
      <c r="D27" s="452">
        <v>1130124718.9303873</v>
      </c>
      <c r="E27" s="452">
        <v>2264476596.6985846</v>
      </c>
    </row>
    <row r="28" spans="1:5" ht="13.5">
      <c r="A28" s="476" t="s">
        <v>463</v>
      </c>
      <c r="B28" s="476"/>
      <c r="C28" s="452">
        <v>23071822533.39719</v>
      </c>
      <c r="D28" s="452">
        <v>22246662448.141663</v>
      </c>
      <c r="E28" s="452">
        <v>25956672345.503532</v>
      </c>
    </row>
    <row r="29" spans="1:5" ht="13.5">
      <c r="A29" s="477" t="s">
        <v>604</v>
      </c>
      <c r="B29" s="477"/>
      <c r="C29" s="455">
        <v>25212600584.373951</v>
      </c>
      <c r="D29" s="455">
        <v>23376787167.072048</v>
      </c>
      <c r="E29" s="455">
        <v>28221148942.202118</v>
      </c>
    </row>
    <row r="30" spans="1:5" s="529" customFormat="1" ht="13.5">
      <c r="A30" s="476"/>
      <c r="B30" s="476"/>
      <c r="C30" s="452"/>
      <c r="D30" s="452"/>
      <c r="E30" s="452"/>
    </row>
    <row r="31" spans="1:5">
      <c r="A31" s="567" t="s">
        <v>295</v>
      </c>
      <c r="B31" s="567"/>
      <c r="C31" s="567"/>
      <c r="D31" s="567"/>
      <c r="E31" s="567"/>
    </row>
    <row r="32" spans="1:5">
      <c r="A32" s="567"/>
      <c r="B32" s="567"/>
      <c r="C32" s="567"/>
      <c r="D32" s="567"/>
      <c r="E32" s="567"/>
    </row>
  </sheetData>
  <mergeCells count="5">
    <mergeCell ref="A8:E8"/>
    <mergeCell ref="A9:E9"/>
    <mergeCell ref="A10:E10"/>
    <mergeCell ref="A11:E11"/>
    <mergeCell ref="A31:E32"/>
  </mergeCells>
  <hyperlinks>
    <hyperlink ref="A1" location="Indice!A1" display="Cuadro 5.2 Porcentaje del presupuesto asignado a entidades destinado a actividades de medio ambiente o recursos naturales"/>
  </hyperlinks>
  <pageMargins left="0.7" right="0.7" top="0.75" bottom="0.75" header="0.3" footer="0.3"/>
  <pageSetup orientation="portrait" r:id="rId1"/>
</worksheet>
</file>

<file path=xl/worksheets/sheet51.xml><?xml version="1.0" encoding="utf-8"?>
<worksheet xmlns="http://schemas.openxmlformats.org/spreadsheetml/2006/main" xmlns:r="http://schemas.openxmlformats.org/officeDocument/2006/relationships">
  <sheetPr>
    <pageSetUpPr fitToPage="1"/>
  </sheetPr>
  <dimension ref="A1:G31"/>
  <sheetViews>
    <sheetView showGridLines="0" topLeftCell="A5" workbookViewId="0">
      <selection activeCell="A5" sqref="A5:G5"/>
    </sheetView>
  </sheetViews>
  <sheetFormatPr baseColWidth="10" defaultRowHeight="12.75"/>
  <cols>
    <col min="1" max="1" width="36.33203125" customWidth="1"/>
    <col min="2" max="2" width="14.83203125" customWidth="1"/>
    <col min="3" max="3" width="13.33203125" customWidth="1"/>
    <col min="4" max="4" width="14" customWidth="1"/>
    <col min="5" max="5" width="13.5" customWidth="1"/>
    <col min="6" max="7" width="13.83203125" customWidth="1"/>
  </cols>
  <sheetData>
    <row r="1" spans="1:7" hidden="1">
      <c r="A1" s="7" t="s">
        <v>468</v>
      </c>
    </row>
    <row r="2" spans="1:7" hidden="1"/>
    <row r="3" spans="1:7" hidden="1"/>
    <row r="4" spans="1:7" hidden="1"/>
    <row r="5" spans="1:7">
      <c r="A5" s="537" t="s">
        <v>456</v>
      </c>
      <c r="B5" s="537"/>
      <c r="C5" s="537"/>
      <c r="D5" s="537"/>
      <c r="E5" s="537"/>
      <c r="F5" s="537"/>
      <c r="G5" s="537"/>
    </row>
    <row r="6" spans="1:7">
      <c r="A6" s="53" t="s">
        <v>455</v>
      </c>
      <c r="B6" s="446"/>
      <c r="C6" s="446"/>
      <c r="D6" s="446"/>
      <c r="E6" s="446"/>
      <c r="F6" s="446"/>
      <c r="G6" s="446"/>
    </row>
    <row r="7" spans="1:7">
      <c r="A7" s="568" t="s">
        <v>5</v>
      </c>
      <c r="B7" s="568"/>
      <c r="C7" s="568"/>
      <c r="D7" s="568"/>
      <c r="E7" s="568"/>
      <c r="F7" s="568"/>
      <c r="G7" s="568"/>
    </row>
    <row r="8" spans="1:7" s="529" customFormat="1" ht="13.5">
      <c r="A8" s="776" t="s">
        <v>391</v>
      </c>
      <c r="B8" s="776"/>
      <c r="C8" s="776"/>
      <c r="D8" s="776"/>
      <c r="E8" s="776"/>
      <c r="F8" s="776"/>
      <c r="G8" s="776"/>
    </row>
    <row r="10" spans="1:7" ht="13.5">
      <c r="A10" s="777" t="s">
        <v>380</v>
      </c>
      <c r="B10" s="778">
        <v>2001</v>
      </c>
      <c r="C10" s="778">
        <v>2002</v>
      </c>
      <c r="D10" s="778">
        <v>2003</v>
      </c>
      <c r="E10" s="778">
        <v>2004</v>
      </c>
      <c r="F10" s="778">
        <v>2005</v>
      </c>
      <c r="G10" s="778">
        <v>2006</v>
      </c>
    </row>
    <row r="11" spans="1:7" ht="13.5">
      <c r="A11" s="447" t="s">
        <v>339</v>
      </c>
      <c r="B11" s="448"/>
      <c r="C11" s="448"/>
      <c r="D11" s="448"/>
      <c r="E11" s="448"/>
      <c r="F11" s="448"/>
      <c r="G11" s="448"/>
    </row>
    <row r="12" spans="1:7" ht="13.5">
      <c r="A12" s="449" t="s">
        <v>381</v>
      </c>
      <c r="B12" s="451">
        <v>5374155.4699999997</v>
      </c>
      <c r="C12" s="451">
        <v>7002376.9000000004</v>
      </c>
      <c r="D12" s="451">
        <v>4763574.9000000004</v>
      </c>
      <c r="E12" s="451">
        <v>299534.44</v>
      </c>
      <c r="F12" s="451">
        <v>1067749.4699999997</v>
      </c>
      <c r="G12" s="451">
        <v>4629532.0900000008</v>
      </c>
    </row>
    <row r="13" spans="1:7" ht="13.5">
      <c r="A13" s="449" t="s">
        <v>382</v>
      </c>
      <c r="B13" s="451">
        <v>4058581.0900000003</v>
      </c>
      <c r="C13" s="451">
        <v>1610656.0799999998</v>
      </c>
      <c r="D13" s="451">
        <v>3243751.5799999996</v>
      </c>
      <c r="E13" s="451">
        <v>4293677.9400000004</v>
      </c>
      <c r="F13" s="451">
        <v>3434214.1799999992</v>
      </c>
      <c r="G13" s="451">
        <v>4180822.8000000007</v>
      </c>
    </row>
    <row r="14" spans="1:7" ht="13.5">
      <c r="A14" s="447" t="s">
        <v>459</v>
      </c>
      <c r="B14" s="452">
        <v>9432736.5600000005</v>
      </c>
      <c r="C14" s="452">
        <v>8613032.9800000004</v>
      </c>
      <c r="D14" s="452">
        <v>8007326.4800000004</v>
      </c>
      <c r="E14" s="452">
        <v>4593212.3800000008</v>
      </c>
      <c r="F14" s="452">
        <v>4501963.6499999985</v>
      </c>
      <c r="G14" s="452">
        <v>8810354.8900000006</v>
      </c>
    </row>
    <row r="15" spans="1:7" ht="13.5">
      <c r="A15" s="447" t="s">
        <v>361</v>
      </c>
      <c r="B15" s="452"/>
      <c r="C15" s="452"/>
      <c r="D15" s="452"/>
      <c r="E15" s="452"/>
      <c r="F15" s="452"/>
      <c r="G15" s="452"/>
    </row>
    <row r="16" spans="1:7" ht="13.5">
      <c r="A16" s="449" t="s">
        <v>383</v>
      </c>
      <c r="B16" s="451">
        <v>2495591.11</v>
      </c>
      <c r="C16" s="451">
        <v>715364.5</v>
      </c>
      <c r="D16" s="451">
        <v>752067.38</v>
      </c>
      <c r="E16" s="451">
        <v>527618.53</v>
      </c>
      <c r="F16" s="451">
        <v>534562.42000000004</v>
      </c>
      <c r="G16" s="451">
        <v>2506951.3899999997</v>
      </c>
    </row>
    <row r="17" spans="1:7" ht="13.5">
      <c r="A17" s="449" t="s">
        <v>362</v>
      </c>
      <c r="B17" s="451">
        <v>82361705.209999979</v>
      </c>
      <c r="C17" s="451">
        <v>107890334.77999996</v>
      </c>
      <c r="D17" s="451">
        <v>92275249.539999992</v>
      </c>
      <c r="E17" s="451">
        <v>164060235.55000004</v>
      </c>
      <c r="F17" s="451">
        <v>133442544.93000002</v>
      </c>
      <c r="G17" s="451">
        <v>134771012.72999999</v>
      </c>
    </row>
    <row r="18" spans="1:7" ht="13.5">
      <c r="A18" s="449" t="s">
        <v>384</v>
      </c>
      <c r="B18" s="451"/>
      <c r="C18" s="451"/>
      <c r="D18" s="451"/>
      <c r="E18" s="451"/>
      <c r="F18" s="451">
        <v>8681760</v>
      </c>
      <c r="G18" s="451"/>
    </row>
    <row r="19" spans="1:7" ht="13.5">
      <c r="A19" s="447" t="s">
        <v>460</v>
      </c>
      <c r="B19" s="452">
        <v>84857296.319999978</v>
      </c>
      <c r="C19" s="452">
        <v>108605699.27999996</v>
      </c>
      <c r="D19" s="452">
        <v>93027316.919999987</v>
      </c>
      <c r="E19" s="452">
        <v>164587854.08000004</v>
      </c>
      <c r="F19" s="452">
        <v>142658867.35000002</v>
      </c>
      <c r="G19" s="452">
        <v>137277964.11999997</v>
      </c>
    </row>
    <row r="20" spans="1:7" ht="13.5">
      <c r="A20" s="447" t="s">
        <v>374</v>
      </c>
      <c r="B20" s="452"/>
      <c r="C20" s="452"/>
      <c r="D20" s="452"/>
      <c r="E20" s="452"/>
      <c r="F20" s="452"/>
      <c r="G20" s="452"/>
    </row>
    <row r="21" spans="1:7" ht="13.5">
      <c r="A21" s="449" t="s">
        <v>375</v>
      </c>
      <c r="B21" s="451">
        <v>43343.341925539949</v>
      </c>
      <c r="C21" s="451">
        <v>69166.519488100661</v>
      </c>
      <c r="D21" s="451">
        <v>46882.464289573501</v>
      </c>
      <c r="E21" s="451">
        <v>51194.737612126155</v>
      </c>
      <c r="F21" s="451">
        <v>220417.11877099107</v>
      </c>
      <c r="G21" s="451">
        <v>52917.107099345674</v>
      </c>
    </row>
    <row r="22" spans="1:7" ht="13.5">
      <c r="A22" s="447" t="s">
        <v>462</v>
      </c>
      <c r="B22" s="452">
        <v>43343.341925539949</v>
      </c>
      <c r="C22" s="452">
        <v>69166.519488100661</v>
      </c>
      <c r="D22" s="452">
        <v>46882.464289573501</v>
      </c>
      <c r="E22" s="452">
        <v>51194.737612126155</v>
      </c>
      <c r="F22" s="452">
        <v>220417.11877099107</v>
      </c>
      <c r="G22" s="452">
        <v>52917.107099345674</v>
      </c>
    </row>
    <row r="23" spans="1:7" ht="13.5">
      <c r="A23" s="447" t="s">
        <v>385</v>
      </c>
      <c r="B23" s="452"/>
      <c r="C23" s="452"/>
      <c r="D23" s="452"/>
      <c r="E23" s="452"/>
      <c r="F23" s="452"/>
      <c r="G23" s="452"/>
    </row>
    <row r="24" spans="1:7" ht="13.5">
      <c r="A24" s="449" t="s">
        <v>386</v>
      </c>
      <c r="B24" s="451">
        <v>335934.36000000004</v>
      </c>
      <c r="C24" s="451"/>
      <c r="D24" s="451">
        <v>2511523.0099999998</v>
      </c>
      <c r="E24" s="451">
        <v>4693379.38</v>
      </c>
      <c r="F24" s="451">
        <v>7557179.5800000001</v>
      </c>
      <c r="G24" s="451">
        <v>7265589.0899999989</v>
      </c>
    </row>
    <row r="25" spans="1:7" ht="13.5">
      <c r="A25" s="449" t="s">
        <v>387</v>
      </c>
      <c r="B25" s="451"/>
      <c r="C25" s="451"/>
      <c r="D25" s="451"/>
      <c r="E25" s="451"/>
      <c r="F25" s="451"/>
      <c r="G25" s="451">
        <v>15510</v>
      </c>
    </row>
    <row r="26" spans="1:7" ht="13.5">
      <c r="A26" s="447" t="s">
        <v>605</v>
      </c>
      <c r="B26" s="452">
        <v>335934.36000000004</v>
      </c>
      <c r="C26" s="452"/>
      <c r="D26" s="452">
        <v>2511523.0099999998</v>
      </c>
      <c r="E26" s="452">
        <v>4693379.38</v>
      </c>
      <c r="F26" s="452">
        <v>7557179.5800000001</v>
      </c>
      <c r="G26" s="452">
        <v>7281099.0899999989</v>
      </c>
    </row>
    <row r="27" spans="1:7" ht="13.5">
      <c r="A27" s="447" t="s">
        <v>378</v>
      </c>
      <c r="B27" s="452">
        <v>94669310.581925526</v>
      </c>
      <c r="C27" s="452">
        <v>117287898.77948806</v>
      </c>
      <c r="D27" s="452">
        <v>103593048.87428957</v>
      </c>
      <c r="E27" s="452">
        <v>173925640.57761216</v>
      </c>
      <c r="F27" s="452">
        <v>154938427.69877103</v>
      </c>
      <c r="G27" s="452">
        <v>153422335.20709935</v>
      </c>
    </row>
    <row r="28" spans="1:7" ht="13.5">
      <c r="A28" s="450" t="s">
        <v>388</v>
      </c>
      <c r="B28" s="453">
        <f>+B29-B27</f>
        <v>11850061398.554792</v>
      </c>
      <c r="C28" s="453">
        <f t="shared" ref="C28:G28" si="0">+C29-C27</f>
        <v>3578984007.5305128</v>
      </c>
      <c r="D28" s="453">
        <f t="shared" si="0"/>
        <v>3517004087.6057105</v>
      </c>
      <c r="E28" s="453">
        <f t="shared" si="0"/>
        <v>2944055655.6423883</v>
      </c>
      <c r="F28" s="453">
        <f t="shared" si="0"/>
        <v>5780680737.5042295</v>
      </c>
      <c r="G28" s="453">
        <f t="shared" si="0"/>
        <v>4877502145.6629</v>
      </c>
    </row>
    <row r="29" spans="1:7" ht="13.5">
      <c r="A29" s="454" t="s">
        <v>389</v>
      </c>
      <c r="B29" s="455">
        <v>11944730709.136719</v>
      </c>
      <c r="C29" s="455">
        <v>3696271906.3100009</v>
      </c>
      <c r="D29" s="455">
        <v>3620597136.48</v>
      </c>
      <c r="E29" s="455">
        <v>3117981296.2200003</v>
      </c>
      <c r="F29" s="455">
        <v>5935619165.203001</v>
      </c>
      <c r="G29" s="455">
        <v>5030924480.8699989</v>
      </c>
    </row>
    <row r="31" spans="1:7">
      <c r="A31" s="827" t="s">
        <v>295</v>
      </c>
    </row>
  </sheetData>
  <mergeCells count="3">
    <mergeCell ref="A5:G5"/>
    <mergeCell ref="A7:G7"/>
    <mergeCell ref="A8:G8"/>
  </mergeCells>
  <hyperlinks>
    <hyperlink ref="A1" location="Indice!A1" display="Cuadro 5.2 Porcentaje del presupuesto asignado a entidades destinado a actividades de medio ambiente o recursos naturales"/>
  </hyperlinks>
  <pageMargins left="0.7" right="0.7" top="0.75" bottom="0.75" header="0.3" footer="0.3"/>
  <pageSetup scale="93" orientation="portrait" r:id="rId1"/>
</worksheet>
</file>

<file path=xl/worksheets/sheet52.xml><?xml version="1.0" encoding="utf-8"?>
<worksheet xmlns="http://schemas.openxmlformats.org/spreadsheetml/2006/main" xmlns:r="http://schemas.openxmlformats.org/officeDocument/2006/relationships">
  <sheetPr>
    <pageSetUpPr fitToPage="1"/>
  </sheetPr>
  <dimension ref="A1:G39"/>
  <sheetViews>
    <sheetView showGridLines="0" topLeftCell="A4" workbookViewId="0">
      <selection activeCell="J15" sqref="J15"/>
    </sheetView>
  </sheetViews>
  <sheetFormatPr baseColWidth="10" defaultRowHeight="12.75"/>
  <cols>
    <col min="1" max="1" width="41.33203125" customWidth="1"/>
    <col min="2" max="2" width="16.5" customWidth="1"/>
    <col min="3" max="4" width="16.1640625" customWidth="1"/>
    <col min="5" max="5" width="15.83203125" customWidth="1"/>
    <col min="6" max="6" width="16.1640625" customWidth="1"/>
    <col min="7" max="7" width="16.5" customWidth="1"/>
  </cols>
  <sheetData>
    <row r="1" spans="1:7" ht="15" hidden="1">
      <c r="A1" s="598" t="s">
        <v>471</v>
      </c>
    </row>
    <row r="2" spans="1:7" hidden="1"/>
    <row r="3" spans="1:7" hidden="1"/>
    <row r="4" spans="1:7">
      <c r="A4" s="537" t="s">
        <v>457</v>
      </c>
      <c r="B4" s="537"/>
      <c r="C4" s="537"/>
      <c r="D4" s="537"/>
      <c r="E4" s="537"/>
      <c r="F4" s="537"/>
      <c r="G4" s="537"/>
    </row>
    <row r="5" spans="1:7">
      <c r="A5" s="537" t="s">
        <v>469</v>
      </c>
      <c r="B5" s="537"/>
      <c r="C5" s="537"/>
      <c r="D5" s="537"/>
      <c r="E5" s="537"/>
      <c r="F5" s="537"/>
      <c r="G5" s="537"/>
    </row>
    <row r="6" spans="1:7" s="529" customFormat="1" ht="13.5">
      <c r="A6" s="566" t="s">
        <v>5</v>
      </c>
      <c r="B6" s="566"/>
      <c r="C6" s="566"/>
      <c r="D6" s="566"/>
      <c r="E6" s="566"/>
      <c r="F6" s="566"/>
      <c r="G6" s="566"/>
    </row>
    <row r="7" spans="1:7" ht="13.5">
      <c r="A7" s="775" t="s">
        <v>392</v>
      </c>
      <c r="B7" s="775"/>
      <c r="C7" s="775"/>
      <c r="D7" s="775"/>
      <c r="E7" s="775"/>
      <c r="F7" s="775"/>
      <c r="G7" s="775"/>
    </row>
    <row r="8" spans="1:7" s="529" customFormat="1"/>
    <row r="9" spans="1:7">
      <c r="A9" s="774" t="s">
        <v>380</v>
      </c>
      <c r="B9" s="620" t="s">
        <v>34</v>
      </c>
      <c r="C9" s="620"/>
      <c r="D9" s="620"/>
      <c r="E9" s="620"/>
      <c r="F9" s="620"/>
      <c r="G9" s="620"/>
    </row>
    <row r="10" spans="1:7">
      <c r="A10" s="650"/>
      <c r="B10" s="685">
        <v>2001</v>
      </c>
      <c r="C10" s="685">
        <v>2002</v>
      </c>
      <c r="D10" s="685">
        <v>2003</v>
      </c>
      <c r="E10" s="685">
        <v>2004</v>
      </c>
      <c r="F10" s="685">
        <v>2005</v>
      </c>
      <c r="G10" s="685">
        <v>2006</v>
      </c>
    </row>
    <row r="11" spans="1:7" s="462" customFormat="1" ht="16.5">
      <c r="A11" s="421" t="s">
        <v>339</v>
      </c>
      <c r="B11" s="457"/>
      <c r="C11" s="457"/>
      <c r="D11" s="457"/>
      <c r="E11" s="457"/>
      <c r="F11" s="457"/>
      <c r="G11" s="457"/>
    </row>
    <row r="12" spans="1:7" s="462" customFormat="1" ht="16.5">
      <c r="A12" s="458" t="s">
        <v>381</v>
      </c>
      <c r="B12" s="459">
        <v>5374155.4699999997</v>
      </c>
      <c r="C12" s="459">
        <v>6578119.5598781724</v>
      </c>
      <c r="D12" s="459">
        <v>4284064.6677195607</v>
      </c>
      <c r="E12" s="459">
        <v>253950.1476863749</v>
      </c>
      <c r="F12" s="459">
        <v>856969.47866830265</v>
      </c>
      <c r="G12" s="459">
        <v>3540346.2099116184</v>
      </c>
    </row>
    <row r="13" spans="1:7" s="462" customFormat="1" ht="16.5">
      <c r="A13" s="458" t="s">
        <v>382</v>
      </c>
      <c r="B13" s="459">
        <v>4058581.0900000003</v>
      </c>
      <c r="C13" s="459">
        <v>1513070.2639106303</v>
      </c>
      <c r="D13" s="459">
        <v>2917229.5652866713</v>
      </c>
      <c r="E13" s="459">
        <v>3640249.6720601814</v>
      </c>
      <c r="F13" s="459">
        <v>2756280.2119395034</v>
      </c>
      <c r="G13" s="459">
        <v>3197204.3538188497</v>
      </c>
    </row>
    <row r="14" spans="1:7" s="462" customFormat="1" ht="16.5">
      <c r="A14" s="532" t="s">
        <v>459</v>
      </c>
      <c r="B14" s="457">
        <v>9432736.5600000005</v>
      </c>
      <c r="C14" s="457">
        <v>8091189.8237888021</v>
      </c>
      <c r="D14" s="457">
        <v>7201294.2330062324</v>
      </c>
      <c r="E14" s="457">
        <v>3894199.8197465562</v>
      </c>
      <c r="F14" s="457">
        <v>3613249.6906078057</v>
      </c>
      <c r="G14" s="457">
        <v>6737550.5637304671</v>
      </c>
    </row>
    <row r="15" spans="1:7" s="462" customFormat="1" ht="16.5">
      <c r="A15" s="421" t="s">
        <v>361</v>
      </c>
      <c r="B15" s="457">
        <v>0</v>
      </c>
      <c r="C15" s="457">
        <v>0</v>
      </c>
      <c r="D15" s="457">
        <v>0</v>
      </c>
      <c r="E15" s="457">
        <v>0</v>
      </c>
      <c r="F15" s="457">
        <v>0</v>
      </c>
      <c r="G15" s="457">
        <v>0</v>
      </c>
    </row>
    <row r="16" spans="1:7" s="462" customFormat="1" ht="16.5">
      <c r="A16" s="458" t="s">
        <v>383</v>
      </c>
      <c r="B16" s="459">
        <v>2495591.11</v>
      </c>
      <c r="C16" s="459">
        <v>672022.26859460655</v>
      </c>
      <c r="D16" s="459">
        <v>676362.89090414438</v>
      </c>
      <c r="E16" s="459">
        <v>447323.5318635414</v>
      </c>
      <c r="F16" s="459">
        <v>429036.67129243939</v>
      </c>
      <c r="G16" s="459">
        <v>1917143.1754821599</v>
      </c>
    </row>
    <row r="17" spans="1:7" s="462" customFormat="1" ht="16.5">
      <c r="A17" s="458" t="s">
        <v>362</v>
      </c>
      <c r="B17" s="459">
        <v>82361705.209999979</v>
      </c>
      <c r="C17" s="459">
        <v>101353516.33787692</v>
      </c>
      <c r="D17" s="459">
        <v>82986652.788711175</v>
      </c>
      <c r="E17" s="459">
        <v>139092923.83000752</v>
      </c>
      <c r="F17" s="459">
        <v>107100205.96950865</v>
      </c>
      <c r="G17" s="459">
        <v>103063556.93164788</v>
      </c>
    </row>
    <row r="18" spans="1:7" s="462" customFormat="1" ht="16.5">
      <c r="A18" s="458" t="s">
        <v>384</v>
      </c>
      <c r="B18" s="459">
        <v>0</v>
      </c>
      <c r="C18" s="459">
        <v>0</v>
      </c>
      <c r="D18" s="459">
        <v>0</v>
      </c>
      <c r="E18" s="459">
        <v>0</v>
      </c>
      <c r="F18" s="459">
        <v>6967929.7907994511</v>
      </c>
      <c r="G18" s="459">
        <v>0</v>
      </c>
    </row>
    <row r="19" spans="1:7" s="462" customFormat="1" ht="16.5">
      <c r="A19" s="532" t="s">
        <v>460</v>
      </c>
      <c r="B19" s="457">
        <v>84857296.319999978</v>
      </c>
      <c r="C19" s="457">
        <v>102025538.60647152</v>
      </c>
      <c r="D19" s="457">
        <v>83663015.679615319</v>
      </c>
      <c r="E19" s="457">
        <v>139540247.36187109</v>
      </c>
      <c r="F19" s="457">
        <v>114497172.43160054</v>
      </c>
      <c r="G19" s="457">
        <v>104980700.10713004</v>
      </c>
    </row>
    <row r="20" spans="1:7" s="462" customFormat="1" ht="16.5">
      <c r="A20" s="532" t="s">
        <v>374</v>
      </c>
      <c r="B20" s="457">
        <v>0</v>
      </c>
      <c r="C20" s="457">
        <v>0</v>
      </c>
      <c r="D20" s="457">
        <v>0</v>
      </c>
      <c r="E20" s="457">
        <v>0</v>
      </c>
      <c r="F20" s="457">
        <v>0</v>
      </c>
      <c r="G20" s="457">
        <v>0</v>
      </c>
    </row>
    <row r="21" spans="1:7" s="462" customFormat="1" ht="16.5">
      <c r="A21" s="458" t="s">
        <v>375</v>
      </c>
      <c r="B21" s="459">
        <v>43343.341925539949</v>
      </c>
      <c r="C21" s="459">
        <v>64975.884793257799</v>
      </c>
      <c r="D21" s="459">
        <v>42163.188994590149</v>
      </c>
      <c r="E21" s="459">
        <v>43403.727388959509</v>
      </c>
      <c r="F21" s="459">
        <v>176905.49016404158</v>
      </c>
      <c r="G21" s="459">
        <v>40467.346573388932</v>
      </c>
    </row>
    <row r="22" spans="1:7" s="462" customFormat="1" ht="16.5">
      <c r="A22" s="532" t="s">
        <v>462</v>
      </c>
      <c r="B22" s="457">
        <v>43343.341925539949</v>
      </c>
      <c r="C22" s="457">
        <v>64975.884793257799</v>
      </c>
      <c r="D22" s="457">
        <v>42163.188994590149</v>
      </c>
      <c r="E22" s="457">
        <v>43403.727388959509</v>
      </c>
      <c r="F22" s="457">
        <v>176905.49016404158</v>
      </c>
      <c r="G22" s="457">
        <v>40467.346573388932</v>
      </c>
    </row>
    <row r="23" spans="1:7" s="462" customFormat="1" ht="16.5">
      <c r="A23" s="421" t="s">
        <v>385</v>
      </c>
      <c r="B23" s="457">
        <v>0</v>
      </c>
      <c r="C23" s="457">
        <v>0</v>
      </c>
      <c r="D23" s="457">
        <v>0</v>
      </c>
      <c r="E23" s="457">
        <v>0</v>
      </c>
      <c r="F23" s="457">
        <v>0</v>
      </c>
      <c r="G23" s="457">
        <v>0</v>
      </c>
    </row>
    <row r="24" spans="1:7" s="462" customFormat="1" ht="16.5">
      <c r="A24" s="458" t="s">
        <v>386</v>
      </c>
      <c r="B24" s="459">
        <v>335934.36000000004</v>
      </c>
      <c r="C24" s="459">
        <v>0</v>
      </c>
      <c r="D24" s="459">
        <v>2258708.473190099</v>
      </c>
      <c r="E24" s="459">
        <v>3979123.0240475405</v>
      </c>
      <c r="F24" s="459">
        <v>6065348.1241019424</v>
      </c>
      <c r="G24" s="459">
        <v>5556220.4338358296</v>
      </c>
    </row>
    <row r="25" spans="1:7" s="462" customFormat="1" ht="16.5">
      <c r="A25" s="458" t="s">
        <v>387</v>
      </c>
      <c r="B25" s="459">
        <v>0</v>
      </c>
      <c r="C25" s="459">
        <v>0</v>
      </c>
      <c r="D25" s="459">
        <v>0</v>
      </c>
      <c r="E25" s="459">
        <v>0</v>
      </c>
      <c r="F25" s="459">
        <v>0</v>
      </c>
      <c r="G25" s="459">
        <v>11860.976152285228</v>
      </c>
    </row>
    <row r="26" spans="1:7" s="462" customFormat="1" ht="16.5">
      <c r="A26" s="532" t="s">
        <v>605</v>
      </c>
      <c r="B26" s="457">
        <v>335934.36000000004</v>
      </c>
      <c r="C26" s="457">
        <v>0</v>
      </c>
      <c r="D26" s="457">
        <v>2258708.473190099</v>
      </c>
      <c r="E26" s="457">
        <v>3979123.0240475405</v>
      </c>
      <c r="F26" s="457">
        <v>6065348.1241019424</v>
      </c>
      <c r="G26" s="457">
        <v>5568081.4099881146</v>
      </c>
    </row>
    <row r="27" spans="1:7" s="462" customFormat="1" ht="16.5">
      <c r="A27" s="532" t="s">
        <v>378</v>
      </c>
      <c r="B27" s="457">
        <v>94669310.581925526</v>
      </c>
      <c r="C27" s="457">
        <v>110181704.31505363</v>
      </c>
      <c r="D27" s="457">
        <v>93165181.574806288</v>
      </c>
      <c r="E27" s="457">
        <v>147456973.93305412</v>
      </c>
      <c r="F27" s="457">
        <v>124352675.73647428</v>
      </c>
      <c r="G27" s="457">
        <v>117326799.42742203</v>
      </c>
    </row>
    <row r="28" spans="1:7" s="462" customFormat="1" ht="16.5">
      <c r="A28" s="460" t="s">
        <v>388</v>
      </c>
      <c r="B28" s="461">
        <v>11850061398.554792</v>
      </c>
      <c r="C28" s="461">
        <v>3362141889.9099307</v>
      </c>
      <c r="D28" s="461">
        <v>3162975971.667182</v>
      </c>
      <c r="E28" s="461">
        <v>2496018049.0339999</v>
      </c>
      <c r="F28" s="461">
        <v>4639540544.9996586</v>
      </c>
      <c r="G28" s="461">
        <v>3729976572.0456276</v>
      </c>
    </row>
    <row r="29" spans="1:7" s="462" customFormat="1" ht="16.5">
      <c r="A29" s="74" t="s">
        <v>389</v>
      </c>
      <c r="B29" s="464">
        <v>11944730709.136719</v>
      </c>
      <c r="C29" s="464">
        <v>3472323594.2249846</v>
      </c>
      <c r="D29" s="464">
        <v>3256141153.2419882</v>
      </c>
      <c r="E29" s="464">
        <v>2643475022.9670539</v>
      </c>
      <c r="F29" s="464">
        <v>4763893220.7361336</v>
      </c>
      <c r="G29" s="464">
        <v>3847303371.4730496</v>
      </c>
    </row>
    <row r="31" spans="1:7">
      <c r="A31" s="827" t="s">
        <v>606</v>
      </c>
    </row>
    <row r="39" spans="2:2" ht="18">
      <c r="B39" s="463"/>
    </row>
  </sheetData>
  <mergeCells count="6">
    <mergeCell ref="A4:G4"/>
    <mergeCell ref="A5:G5"/>
    <mergeCell ref="A6:G6"/>
    <mergeCell ref="A7:G7"/>
    <mergeCell ref="A9:A10"/>
    <mergeCell ref="B9:G9"/>
  </mergeCells>
  <hyperlinks>
    <hyperlink ref="A1" location="Indice!A1" display="Cuadro 1.2 Transacciones ambientales de Gobiernos Locales"/>
  </hyperlinks>
  <pageMargins left="0.7" right="0.7" top="0.75" bottom="0.75" header="0.3" footer="0.3"/>
  <pageSetup scale="80" orientation="portrait" r:id="rId1"/>
</worksheet>
</file>

<file path=xl/worksheets/sheet53.xml><?xml version="1.0" encoding="utf-8"?>
<worksheet xmlns="http://schemas.openxmlformats.org/spreadsheetml/2006/main" xmlns:r="http://schemas.openxmlformats.org/officeDocument/2006/relationships">
  <sheetPr>
    <tabColor theme="3" tint="0.39997558519241921"/>
    <pageSetUpPr fitToPage="1"/>
  </sheetPr>
  <dimension ref="A1:A38"/>
  <sheetViews>
    <sheetView showGridLines="0" workbookViewId="0">
      <selection activeCell="A3" sqref="A3"/>
    </sheetView>
  </sheetViews>
  <sheetFormatPr baseColWidth="10" defaultColWidth="11.6640625" defaultRowHeight="12.75"/>
  <cols>
    <col min="1" max="1" width="156.1640625" style="62" bestFit="1" customWidth="1"/>
    <col min="2" max="256" width="11.6640625" style="9"/>
    <col min="257" max="257" width="139.6640625" style="9" customWidth="1"/>
    <col min="258" max="512" width="11.6640625" style="9"/>
    <col min="513" max="513" width="139.6640625" style="9" customWidth="1"/>
    <col min="514" max="768" width="11.6640625" style="9"/>
    <col min="769" max="769" width="139.6640625" style="9" customWidth="1"/>
    <col min="770" max="1024" width="11.6640625" style="9"/>
    <col min="1025" max="1025" width="139.6640625" style="9" customWidth="1"/>
    <col min="1026" max="1280" width="11.6640625" style="9"/>
    <col min="1281" max="1281" width="139.6640625" style="9" customWidth="1"/>
    <col min="1282" max="1536" width="11.6640625" style="9"/>
    <col min="1537" max="1537" width="139.6640625" style="9" customWidth="1"/>
    <col min="1538" max="1792" width="11.6640625" style="9"/>
    <col min="1793" max="1793" width="139.6640625" style="9" customWidth="1"/>
    <col min="1794" max="2048" width="11.6640625" style="9"/>
    <col min="2049" max="2049" width="139.6640625" style="9" customWidth="1"/>
    <col min="2050" max="2304" width="11.6640625" style="9"/>
    <col min="2305" max="2305" width="139.6640625" style="9" customWidth="1"/>
    <col min="2306" max="2560" width="11.6640625" style="9"/>
    <col min="2561" max="2561" width="139.6640625" style="9" customWidth="1"/>
    <col min="2562" max="2816" width="11.6640625" style="9"/>
    <col min="2817" max="2817" width="139.6640625" style="9" customWidth="1"/>
    <col min="2818" max="3072" width="11.6640625" style="9"/>
    <col min="3073" max="3073" width="139.6640625" style="9" customWidth="1"/>
    <col min="3074" max="3328" width="11.6640625" style="9"/>
    <col min="3329" max="3329" width="139.6640625" style="9" customWidth="1"/>
    <col min="3330" max="3584" width="11.6640625" style="9"/>
    <col min="3585" max="3585" width="139.6640625" style="9" customWidth="1"/>
    <col min="3586" max="3840" width="11.6640625" style="9"/>
    <col min="3841" max="3841" width="139.6640625" style="9" customWidth="1"/>
    <col min="3842" max="4096" width="11.6640625" style="9"/>
    <col min="4097" max="4097" width="139.6640625" style="9" customWidth="1"/>
    <col min="4098" max="4352" width="11.6640625" style="9"/>
    <col min="4353" max="4353" width="139.6640625" style="9" customWidth="1"/>
    <col min="4354" max="4608" width="11.6640625" style="9"/>
    <col min="4609" max="4609" width="139.6640625" style="9" customWidth="1"/>
    <col min="4610" max="4864" width="11.6640625" style="9"/>
    <col min="4865" max="4865" width="139.6640625" style="9" customWidth="1"/>
    <col min="4866" max="5120" width="11.6640625" style="9"/>
    <col min="5121" max="5121" width="139.6640625" style="9" customWidth="1"/>
    <col min="5122" max="5376" width="11.6640625" style="9"/>
    <col min="5377" max="5377" width="139.6640625" style="9" customWidth="1"/>
    <col min="5378" max="5632" width="11.6640625" style="9"/>
    <col min="5633" max="5633" width="139.6640625" style="9" customWidth="1"/>
    <col min="5634" max="5888" width="11.6640625" style="9"/>
    <col min="5889" max="5889" width="139.6640625" style="9" customWidth="1"/>
    <col min="5890" max="6144" width="11.6640625" style="9"/>
    <col min="6145" max="6145" width="139.6640625" style="9" customWidth="1"/>
    <col min="6146" max="6400" width="11.6640625" style="9"/>
    <col min="6401" max="6401" width="139.6640625" style="9" customWidth="1"/>
    <col min="6402" max="6656" width="11.6640625" style="9"/>
    <col min="6657" max="6657" width="139.6640625" style="9" customWidth="1"/>
    <col min="6658" max="6912" width="11.6640625" style="9"/>
    <col min="6913" max="6913" width="139.6640625" style="9" customWidth="1"/>
    <col min="6914" max="7168" width="11.6640625" style="9"/>
    <col min="7169" max="7169" width="139.6640625" style="9" customWidth="1"/>
    <col min="7170" max="7424" width="11.6640625" style="9"/>
    <col min="7425" max="7425" width="139.6640625" style="9" customWidth="1"/>
    <col min="7426" max="7680" width="11.6640625" style="9"/>
    <col min="7681" max="7681" width="139.6640625" style="9" customWidth="1"/>
    <col min="7682" max="7936" width="11.6640625" style="9"/>
    <col min="7937" max="7937" width="139.6640625" style="9" customWidth="1"/>
    <col min="7938" max="8192" width="11.6640625" style="9"/>
    <col min="8193" max="8193" width="139.6640625" style="9" customWidth="1"/>
    <col min="8194" max="8448" width="11.6640625" style="9"/>
    <col min="8449" max="8449" width="139.6640625" style="9" customWidth="1"/>
    <col min="8450" max="8704" width="11.6640625" style="9"/>
    <col min="8705" max="8705" width="139.6640625" style="9" customWidth="1"/>
    <col min="8706" max="8960" width="11.6640625" style="9"/>
    <col min="8961" max="8961" width="139.6640625" style="9" customWidth="1"/>
    <col min="8962" max="9216" width="11.6640625" style="9"/>
    <col min="9217" max="9217" width="139.6640625" style="9" customWidth="1"/>
    <col min="9218" max="9472" width="11.6640625" style="9"/>
    <col min="9473" max="9473" width="139.6640625" style="9" customWidth="1"/>
    <col min="9474" max="9728" width="11.6640625" style="9"/>
    <col min="9729" max="9729" width="139.6640625" style="9" customWidth="1"/>
    <col min="9730" max="9984" width="11.6640625" style="9"/>
    <col min="9985" max="9985" width="139.6640625" style="9" customWidth="1"/>
    <col min="9986" max="10240" width="11.6640625" style="9"/>
    <col min="10241" max="10241" width="139.6640625" style="9" customWidth="1"/>
    <col min="10242" max="10496" width="11.6640625" style="9"/>
    <col min="10497" max="10497" width="139.6640625" style="9" customWidth="1"/>
    <col min="10498" max="10752" width="11.6640625" style="9"/>
    <col min="10753" max="10753" width="139.6640625" style="9" customWidth="1"/>
    <col min="10754" max="11008" width="11.6640625" style="9"/>
    <col min="11009" max="11009" width="139.6640625" style="9" customWidth="1"/>
    <col min="11010" max="11264" width="11.6640625" style="9"/>
    <col min="11265" max="11265" width="139.6640625" style="9" customWidth="1"/>
    <col min="11266" max="11520" width="11.6640625" style="9"/>
    <col min="11521" max="11521" width="139.6640625" style="9" customWidth="1"/>
    <col min="11522" max="11776" width="11.6640625" style="9"/>
    <col min="11777" max="11777" width="139.6640625" style="9" customWidth="1"/>
    <col min="11778" max="12032" width="11.6640625" style="9"/>
    <col min="12033" max="12033" width="139.6640625" style="9" customWidth="1"/>
    <col min="12034" max="12288" width="11.6640625" style="9"/>
    <col min="12289" max="12289" width="139.6640625" style="9" customWidth="1"/>
    <col min="12290" max="12544" width="11.6640625" style="9"/>
    <col min="12545" max="12545" width="139.6640625" style="9" customWidth="1"/>
    <col min="12546" max="12800" width="11.6640625" style="9"/>
    <col min="12801" max="12801" width="139.6640625" style="9" customWidth="1"/>
    <col min="12802" max="13056" width="11.6640625" style="9"/>
    <col min="13057" max="13057" width="139.6640625" style="9" customWidth="1"/>
    <col min="13058" max="13312" width="11.6640625" style="9"/>
    <col min="13313" max="13313" width="139.6640625" style="9" customWidth="1"/>
    <col min="13314" max="13568" width="11.6640625" style="9"/>
    <col min="13569" max="13569" width="139.6640625" style="9" customWidth="1"/>
    <col min="13570" max="13824" width="11.6640625" style="9"/>
    <col min="13825" max="13825" width="139.6640625" style="9" customWidth="1"/>
    <col min="13826" max="14080" width="11.6640625" style="9"/>
    <col min="14081" max="14081" width="139.6640625" style="9" customWidth="1"/>
    <col min="14082" max="14336" width="11.6640625" style="9"/>
    <col min="14337" max="14337" width="139.6640625" style="9" customWidth="1"/>
    <col min="14338" max="14592" width="11.6640625" style="9"/>
    <col min="14593" max="14593" width="139.6640625" style="9" customWidth="1"/>
    <col min="14594" max="14848" width="11.6640625" style="9"/>
    <col min="14849" max="14849" width="139.6640625" style="9" customWidth="1"/>
    <col min="14850" max="15104" width="11.6640625" style="9"/>
    <col min="15105" max="15105" width="139.6640625" style="9" customWidth="1"/>
    <col min="15106" max="15360" width="11.6640625" style="9"/>
    <col min="15361" max="15361" width="139.6640625" style="9" customWidth="1"/>
    <col min="15362" max="15616" width="11.6640625" style="9"/>
    <col min="15617" max="15617" width="139.6640625" style="9" customWidth="1"/>
    <col min="15618" max="15872" width="11.6640625" style="9"/>
    <col min="15873" max="15873" width="139.6640625" style="9" customWidth="1"/>
    <col min="15874" max="16128" width="11.6640625" style="9"/>
    <col min="16129" max="16129" width="139.6640625" style="9" customWidth="1"/>
    <col min="16130" max="16384" width="11.6640625" style="9"/>
  </cols>
  <sheetData>
    <row r="1" spans="1:1">
      <c r="A1" s="527" t="s">
        <v>336</v>
      </c>
    </row>
    <row r="2" spans="1:1">
      <c r="A2" s="26"/>
    </row>
    <row r="3" spans="1:1" s="10" customFormat="1">
      <c r="A3" s="842" t="s">
        <v>44</v>
      </c>
    </row>
    <row r="4" spans="1:1">
      <c r="A4" s="56"/>
    </row>
    <row r="5" spans="1:1">
      <c r="A5" s="57" t="s">
        <v>607</v>
      </c>
    </row>
    <row r="6" spans="1:1">
      <c r="A6" s="9"/>
    </row>
    <row r="7" spans="1:1">
      <c r="A7" s="57" t="s">
        <v>618</v>
      </c>
    </row>
    <row r="8" spans="1:1">
      <c r="A8" s="9"/>
    </row>
    <row r="9" spans="1:1">
      <c r="A9" s="58" t="s">
        <v>620</v>
      </c>
    </row>
    <row r="10" spans="1:1">
      <c r="A10" s="9"/>
    </row>
    <row r="11" spans="1:1">
      <c r="A11" s="57" t="s">
        <v>612</v>
      </c>
    </row>
    <row r="12" spans="1:1">
      <c r="A12" s="9"/>
    </row>
    <row r="13" spans="1:1">
      <c r="A13" s="57" t="s">
        <v>611</v>
      </c>
    </row>
    <row r="14" spans="1:1">
      <c r="A14" s="9"/>
    </row>
    <row r="15" spans="1:1">
      <c r="A15" s="57" t="s">
        <v>608</v>
      </c>
    </row>
    <row r="16" spans="1:1">
      <c r="A16" s="9"/>
    </row>
    <row r="17" spans="1:1">
      <c r="A17" s="57" t="s">
        <v>609</v>
      </c>
    </row>
    <row r="18" spans="1:1">
      <c r="A18" s="58"/>
    </row>
    <row r="19" spans="1:1">
      <c r="A19" s="57" t="s">
        <v>610</v>
      </c>
    </row>
    <row r="20" spans="1:1">
      <c r="A20" s="9"/>
    </row>
    <row r="21" spans="1:1">
      <c r="A21" s="57" t="s">
        <v>617</v>
      </c>
    </row>
    <row r="22" spans="1:1">
      <c r="A22" s="58"/>
    </row>
    <row r="23" spans="1:1">
      <c r="A23" s="57" t="s">
        <v>616</v>
      </c>
    </row>
    <row r="24" spans="1:1">
      <c r="A24" s="59"/>
    </row>
    <row r="25" spans="1:1">
      <c r="A25" s="57" t="s">
        <v>623</v>
      </c>
    </row>
    <row r="26" spans="1:1">
      <c r="A26" s="60"/>
    </row>
    <row r="27" spans="1:1">
      <c r="A27" s="57" t="s">
        <v>613</v>
      </c>
    </row>
    <row r="28" spans="1:1">
      <c r="A28" s="60"/>
    </row>
    <row r="29" spans="1:1">
      <c r="A29" s="57" t="s">
        <v>619</v>
      </c>
    </row>
    <row r="30" spans="1:1">
      <c r="A30" s="60"/>
    </row>
    <row r="31" spans="1:1">
      <c r="A31" s="58" t="s">
        <v>614</v>
      </c>
    </row>
    <row r="32" spans="1:1">
      <c r="A32" s="58"/>
    </row>
    <row r="33" spans="1:1">
      <c r="A33" s="57" t="s">
        <v>615</v>
      </c>
    </row>
    <row r="34" spans="1:1">
      <c r="A34" s="58"/>
    </row>
    <row r="35" spans="1:1">
      <c r="A35" s="60" t="s">
        <v>621</v>
      </c>
    </row>
    <row r="36" spans="1:1">
      <c r="A36" s="60"/>
    </row>
    <row r="37" spans="1:1">
      <c r="A37" s="60" t="s">
        <v>622</v>
      </c>
    </row>
    <row r="38" spans="1:1">
      <c r="A38" s="61"/>
    </row>
  </sheetData>
  <hyperlinks>
    <hyperlink ref="A1" location="Indice!A1" display="Cuadro 5.1 Referencias generales de la Cuenta Integrada de Gastos y Transacciones Ambientales"/>
  </hyperlinks>
  <pageMargins left="0.7" right="0.7" top="0.75" bottom="0.75" header="0.3" footer="0.3"/>
  <pageSetup scale="71" orientation="portrait" r:id="rId1"/>
  <headerFooter alignWithMargins="0"/>
</worksheet>
</file>

<file path=xl/worksheets/sheet54.xml><?xml version="1.0" encoding="utf-8"?>
<worksheet xmlns="http://schemas.openxmlformats.org/spreadsheetml/2006/main" xmlns:r="http://schemas.openxmlformats.org/officeDocument/2006/relationships">
  <sheetPr>
    <tabColor theme="3" tint="0.39997558519241921"/>
    <pageSetUpPr fitToPage="1"/>
  </sheetPr>
  <dimension ref="A1:C65"/>
  <sheetViews>
    <sheetView showGridLines="0" zoomScale="120" zoomScaleNormal="120" workbookViewId="0"/>
  </sheetViews>
  <sheetFormatPr baseColWidth="10" defaultColWidth="24.5" defaultRowHeight="12.75"/>
  <cols>
    <col min="1" max="1" width="6.83203125" style="830" customWidth="1"/>
    <col min="2" max="2" width="29.33203125" style="11" customWidth="1"/>
    <col min="3" max="3" width="102" style="831" customWidth="1"/>
    <col min="4" max="256" width="24.5" style="9"/>
    <col min="257" max="257" width="6.83203125" style="9" customWidth="1"/>
    <col min="258" max="258" width="29.33203125" style="9" customWidth="1"/>
    <col min="259" max="259" width="103.1640625" style="9" customWidth="1"/>
    <col min="260" max="512" width="24.5" style="9"/>
    <col min="513" max="513" width="6.83203125" style="9" customWidth="1"/>
    <col min="514" max="514" width="29.33203125" style="9" customWidth="1"/>
    <col min="515" max="515" width="103.1640625" style="9" customWidth="1"/>
    <col min="516" max="768" width="24.5" style="9"/>
    <col min="769" max="769" width="6.83203125" style="9" customWidth="1"/>
    <col min="770" max="770" width="29.33203125" style="9" customWidth="1"/>
    <col min="771" max="771" width="103.1640625" style="9" customWidth="1"/>
    <col min="772" max="1024" width="24.5" style="9"/>
    <col min="1025" max="1025" width="6.83203125" style="9" customWidth="1"/>
    <col min="1026" max="1026" width="29.33203125" style="9" customWidth="1"/>
    <col min="1027" max="1027" width="103.1640625" style="9" customWidth="1"/>
    <col min="1028" max="1280" width="24.5" style="9"/>
    <col min="1281" max="1281" width="6.83203125" style="9" customWidth="1"/>
    <col min="1282" max="1282" width="29.33203125" style="9" customWidth="1"/>
    <col min="1283" max="1283" width="103.1640625" style="9" customWidth="1"/>
    <col min="1284" max="1536" width="24.5" style="9"/>
    <col min="1537" max="1537" width="6.83203125" style="9" customWidth="1"/>
    <col min="1538" max="1538" width="29.33203125" style="9" customWidth="1"/>
    <col min="1539" max="1539" width="103.1640625" style="9" customWidth="1"/>
    <col min="1540" max="1792" width="24.5" style="9"/>
    <col min="1793" max="1793" width="6.83203125" style="9" customWidth="1"/>
    <col min="1794" max="1794" width="29.33203125" style="9" customWidth="1"/>
    <col min="1795" max="1795" width="103.1640625" style="9" customWidth="1"/>
    <col min="1796" max="2048" width="24.5" style="9"/>
    <col min="2049" max="2049" width="6.83203125" style="9" customWidth="1"/>
    <col min="2050" max="2050" width="29.33203125" style="9" customWidth="1"/>
    <col min="2051" max="2051" width="103.1640625" style="9" customWidth="1"/>
    <col min="2052" max="2304" width="24.5" style="9"/>
    <col min="2305" max="2305" width="6.83203125" style="9" customWidth="1"/>
    <col min="2306" max="2306" width="29.33203125" style="9" customWidth="1"/>
    <col min="2307" max="2307" width="103.1640625" style="9" customWidth="1"/>
    <col min="2308" max="2560" width="24.5" style="9"/>
    <col min="2561" max="2561" width="6.83203125" style="9" customWidth="1"/>
    <col min="2562" max="2562" width="29.33203125" style="9" customWidth="1"/>
    <col min="2563" max="2563" width="103.1640625" style="9" customWidth="1"/>
    <col min="2564" max="2816" width="24.5" style="9"/>
    <col min="2817" max="2817" width="6.83203125" style="9" customWidth="1"/>
    <col min="2818" max="2818" width="29.33203125" style="9" customWidth="1"/>
    <col min="2819" max="2819" width="103.1640625" style="9" customWidth="1"/>
    <col min="2820" max="3072" width="24.5" style="9"/>
    <col min="3073" max="3073" width="6.83203125" style="9" customWidth="1"/>
    <col min="3074" max="3074" width="29.33203125" style="9" customWidth="1"/>
    <col min="3075" max="3075" width="103.1640625" style="9" customWidth="1"/>
    <col min="3076" max="3328" width="24.5" style="9"/>
    <col min="3329" max="3329" width="6.83203125" style="9" customWidth="1"/>
    <col min="3330" max="3330" width="29.33203125" style="9" customWidth="1"/>
    <col min="3331" max="3331" width="103.1640625" style="9" customWidth="1"/>
    <col min="3332" max="3584" width="24.5" style="9"/>
    <col min="3585" max="3585" width="6.83203125" style="9" customWidth="1"/>
    <col min="3586" max="3586" width="29.33203125" style="9" customWidth="1"/>
    <col min="3587" max="3587" width="103.1640625" style="9" customWidth="1"/>
    <col min="3588" max="3840" width="24.5" style="9"/>
    <col min="3841" max="3841" width="6.83203125" style="9" customWidth="1"/>
    <col min="3842" max="3842" width="29.33203125" style="9" customWidth="1"/>
    <col min="3843" max="3843" width="103.1640625" style="9" customWidth="1"/>
    <col min="3844" max="4096" width="24.5" style="9"/>
    <col min="4097" max="4097" width="6.83203125" style="9" customWidth="1"/>
    <col min="4098" max="4098" width="29.33203125" style="9" customWidth="1"/>
    <col min="4099" max="4099" width="103.1640625" style="9" customWidth="1"/>
    <col min="4100" max="4352" width="24.5" style="9"/>
    <col min="4353" max="4353" width="6.83203125" style="9" customWidth="1"/>
    <col min="4354" max="4354" width="29.33203125" style="9" customWidth="1"/>
    <col min="4355" max="4355" width="103.1640625" style="9" customWidth="1"/>
    <col min="4356" max="4608" width="24.5" style="9"/>
    <col min="4609" max="4609" width="6.83203125" style="9" customWidth="1"/>
    <col min="4610" max="4610" width="29.33203125" style="9" customWidth="1"/>
    <col min="4611" max="4611" width="103.1640625" style="9" customWidth="1"/>
    <col min="4612" max="4864" width="24.5" style="9"/>
    <col min="4865" max="4865" width="6.83203125" style="9" customWidth="1"/>
    <col min="4866" max="4866" width="29.33203125" style="9" customWidth="1"/>
    <col min="4867" max="4867" width="103.1640625" style="9" customWidth="1"/>
    <col min="4868" max="5120" width="24.5" style="9"/>
    <col min="5121" max="5121" width="6.83203125" style="9" customWidth="1"/>
    <col min="5122" max="5122" width="29.33203125" style="9" customWidth="1"/>
    <col min="5123" max="5123" width="103.1640625" style="9" customWidth="1"/>
    <col min="5124" max="5376" width="24.5" style="9"/>
    <col min="5377" max="5377" width="6.83203125" style="9" customWidth="1"/>
    <col min="5378" max="5378" width="29.33203125" style="9" customWidth="1"/>
    <col min="5379" max="5379" width="103.1640625" style="9" customWidth="1"/>
    <col min="5380" max="5632" width="24.5" style="9"/>
    <col min="5633" max="5633" width="6.83203125" style="9" customWidth="1"/>
    <col min="5634" max="5634" width="29.33203125" style="9" customWidth="1"/>
    <col min="5635" max="5635" width="103.1640625" style="9" customWidth="1"/>
    <col min="5636" max="5888" width="24.5" style="9"/>
    <col min="5889" max="5889" width="6.83203125" style="9" customWidth="1"/>
    <col min="5890" max="5890" width="29.33203125" style="9" customWidth="1"/>
    <col min="5891" max="5891" width="103.1640625" style="9" customWidth="1"/>
    <col min="5892" max="6144" width="24.5" style="9"/>
    <col min="6145" max="6145" width="6.83203125" style="9" customWidth="1"/>
    <col min="6146" max="6146" width="29.33203125" style="9" customWidth="1"/>
    <col min="6147" max="6147" width="103.1640625" style="9" customWidth="1"/>
    <col min="6148" max="6400" width="24.5" style="9"/>
    <col min="6401" max="6401" width="6.83203125" style="9" customWidth="1"/>
    <col min="6402" max="6402" width="29.33203125" style="9" customWidth="1"/>
    <col min="6403" max="6403" width="103.1640625" style="9" customWidth="1"/>
    <col min="6404" max="6656" width="24.5" style="9"/>
    <col min="6657" max="6657" width="6.83203125" style="9" customWidth="1"/>
    <col min="6658" max="6658" width="29.33203125" style="9" customWidth="1"/>
    <col min="6659" max="6659" width="103.1640625" style="9" customWidth="1"/>
    <col min="6660" max="6912" width="24.5" style="9"/>
    <col min="6913" max="6913" width="6.83203125" style="9" customWidth="1"/>
    <col min="6914" max="6914" width="29.33203125" style="9" customWidth="1"/>
    <col min="6915" max="6915" width="103.1640625" style="9" customWidth="1"/>
    <col min="6916" max="7168" width="24.5" style="9"/>
    <col min="7169" max="7169" width="6.83203125" style="9" customWidth="1"/>
    <col min="7170" max="7170" width="29.33203125" style="9" customWidth="1"/>
    <col min="7171" max="7171" width="103.1640625" style="9" customWidth="1"/>
    <col min="7172" max="7424" width="24.5" style="9"/>
    <col min="7425" max="7425" width="6.83203125" style="9" customWidth="1"/>
    <col min="7426" max="7426" width="29.33203125" style="9" customWidth="1"/>
    <col min="7427" max="7427" width="103.1640625" style="9" customWidth="1"/>
    <col min="7428" max="7680" width="24.5" style="9"/>
    <col min="7681" max="7681" width="6.83203125" style="9" customWidth="1"/>
    <col min="7682" max="7682" width="29.33203125" style="9" customWidth="1"/>
    <col min="7683" max="7683" width="103.1640625" style="9" customWidth="1"/>
    <col min="7684" max="7936" width="24.5" style="9"/>
    <col min="7937" max="7937" width="6.83203125" style="9" customWidth="1"/>
    <col min="7938" max="7938" width="29.33203125" style="9" customWidth="1"/>
    <col min="7939" max="7939" width="103.1640625" style="9" customWidth="1"/>
    <col min="7940" max="8192" width="24.5" style="9"/>
    <col min="8193" max="8193" width="6.83203125" style="9" customWidth="1"/>
    <col min="8194" max="8194" width="29.33203125" style="9" customWidth="1"/>
    <col min="8195" max="8195" width="103.1640625" style="9" customWidth="1"/>
    <col min="8196" max="8448" width="24.5" style="9"/>
    <col min="8449" max="8449" width="6.83203125" style="9" customWidth="1"/>
    <col min="8450" max="8450" width="29.33203125" style="9" customWidth="1"/>
    <col min="8451" max="8451" width="103.1640625" style="9" customWidth="1"/>
    <col min="8452" max="8704" width="24.5" style="9"/>
    <col min="8705" max="8705" width="6.83203125" style="9" customWidth="1"/>
    <col min="8706" max="8706" width="29.33203125" style="9" customWidth="1"/>
    <col min="8707" max="8707" width="103.1640625" style="9" customWidth="1"/>
    <col min="8708" max="8960" width="24.5" style="9"/>
    <col min="8961" max="8961" width="6.83203125" style="9" customWidth="1"/>
    <col min="8962" max="8962" width="29.33203125" style="9" customWidth="1"/>
    <col min="8963" max="8963" width="103.1640625" style="9" customWidth="1"/>
    <col min="8964" max="9216" width="24.5" style="9"/>
    <col min="9217" max="9217" width="6.83203125" style="9" customWidth="1"/>
    <col min="9218" max="9218" width="29.33203125" style="9" customWidth="1"/>
    <col min="9219" max="9219" width="103.1640625" style="9" customWidth="1"/>
    <col min="9220" max="9472" width="24.5" style="9"/>
    <col min="9473" max="9473" width="6.83203125" style="9" customWidth="1"/>
    <col min="9474" max="9474" width="29.33203125" style="9" customWidth="1"/>
    <col min="9475" max="9475" width="103.1640625" style="9" customWidth="1"/>
    <col min="9476" max="9728" width="24.5" style="9"/>
    <col min="9729" max="9729" width="6.83203125" style="9" customWidth="1"/>
    <col min="9730" max="9730" width="29.33203125" style="9" customWidth="1"/>
    <col min="9731" max="9731" width="103.1640625" style="9" customWidth="1"/>
    <col min="9732" max="9984" width="24.5" style="9"/>
    <col min="9985" max="9985" width="6.83203125" style="9" customWidth="1"/>
    <col min="9986" max="9986" width="29.33203125" style="9" customWidth="1"/>
    <col min="9987" max="9987" width="103.1640625" style="9" customWidth="1"/>
    <col min="9988" max="10240" width="24.5" style="9"/>
    <col min="10241" max="10241" width="6.83203125" style="9" customWidth="1"/>
    <col min="10242" max="10242" width="29.33203125" style="9" customWidth="1"/>
    <col min="10243" max="10243" width="103.1640625" style="9" customWidth="1"/>
    <col min="10244" max="10496" width="24.5" style="9"/>
    <col min="10497" max="10497" width="6.83203125" style="9" customWidth="1"/>
    <col min="10498" max="10498" width="29.33203125" style="9" customWidth="1"/>
    <col min="10499" max="10499" width="103.1640625" style="9" customWidth="1"/>
    <col min="10500" max="10752" width="24.5" style="9"/>
    <col min="10753" max="10753" width="6.83203125" style="9" customWidth="1"/>
    <col min="10754" max="10754" width="29.33203125" style="9" customWidth="1"/>
    <col min="10755" max="10755" width="103.1640625" style="9" customWidth="1"/>
    <col min="10756" max="11008" width="24.5" style="9"/>
    <col min="11009" max="11009" width="6.83203125" style="9" customWidth="1"/>
    <col min="11010" max="11010" width="29.33203125" style="9" customWidth="1"/>
    <col min="11011" max="11011" width="103.1640625" style="9" customWidth="1"/>
    <col min="11012" max="11264" width="24.5" style="9"/>
    <col min="11265" max="11265" width="6.83203125" style="9" customWidth="1"/>
    <col min="11266" max="11266" width="29.33203125" style="9" customWidth="1"/>
    <col min="11267" max="11267" width="103.1640625" style="9" customWidth="1"/>
    <col min="11268" max="11520" width="24.5" style="9"/>
    <col min="11521" max="11521" width="6.83203125" style="9" customWidth="1"/>
    <col min="11522" max="11522" width="29.33203125" style="9" customWidth="1"/>
    <col min="11523" max="11523" width="103.1640625" style="9" customWidth="1"/>
    <col min="11524" max="11776" width="24.5" style="9"/>
    <col min="11777" max="11777" width="6.83203125" style="9" customWidth="1"/>
    <col min="11778" max="11778" width="29.33203125" style="9" customWidth="1"/>
    <col min="11779" max="11779" width="103.1640625" style="9" customWidth="1"/>
    <col min="11780" max="12032" width="24.5" style="9"/>
    <col min="12033" max="12033" width="6.83203125" style="9" customWidth="1"/>
    <col min="12034" max="12034" width="29.33203125" style="9" customWidth="1"/>
    <col min="12035" max="12035" width="103.1640625" style="9" customWidth="1"/>
    <col min="12036" max="12288" width="24.5" style="9"/>
    <col min="12289" max="12289" width="6.83203125" style="9" customWidth="1"/>
    <col min="12290" max="12290" width="29.33203125" style="9" customWidth="1"/>
    <col min="12291" max="12291" width="103.1640625" style="9" customWidth="1"/>
    <col min="12292" max="12544" width="24.5" style="9"/>
    <col min="12545" max="12545" width="6.83203125" style="9" customWidth="1"/>
    <col min="12546" max="12546" width="29.33203125" style="9" customWidth="1"/>
    <col min="12547" max="12547" width="103.1640625" style="9" customWidth="1"/>
    <col min="12548" max="12800" width="24.5" style="9"/>
    <col min="12801" max="12801" width="6.83203125" style="9" customWidth="1"/>
    <col min="12802" max="12802" width="29.33203125" style="9" customWidth="1"/>
    <col min="12803" max="12803" width="103.1640625" style="9" customWidth="1"/>
    <col min="12804" max="13056" width="24.5" style="9"/>
    <col min="13057" max="13057" width="6.83203125" style="9" customWidth="1"/>
    <col min="13058" max="13058" width="29.33203125" style="9" customWidth="1"/>
    <col min="13059" max="13059" width="103.1640625" style="9" customWidth="1"/>
    <col min="13060" max="13312" width="24.5" style="9"/>
    <col min="13313" max="13313" width="6.83203125" style="9" customWidth="1"/>
    <col min="13314" max="13314" width="29.33203125" style="9" customWidth="1"/>
    <col min="13315" max="13315" width="103.1640625" style="9" customWidth="1"/>
    <col min="13316" max="13568" width="24.5" style="9"/>
    <col min="13569" max="13569" width="6.83203125" style="9" customWidth="1"/>
    <col min="13570" max="13570" width="29.33203125" style="9" customWidth="1"/>
    <col min="13571" max="13571" width="103.1640625" style="9" customWidth="1"/>
    <col min="13572" max="13824" width="24.5" style="9"/>
    <col min="13825" max="13825" width="6.83203125" style="9" customWidth="1"/>
    <col min="13826" max="13826" width="29.33203125" style="9" customWidth="1"/>
    <col min="13827" max="13827" width="103.1640625" style="9" customWidth="1"/>
    <col min="13828" max="14080" width="24.5" style="9"/>
    <col min="14081" max="14081" width="6.83203125" style="9" customWidth="1"/>
    <col min="14082" max="14082" width="29.33203125" style="9" customWidth="1"/>
    <col min="14083" max="14083" width="103.1640625" style="9" customWidth="1"/>
    <col min="14084" max="14336" width="24.5" style="9"/>
    <col min="14337" max="14337" width="6.83203125" style="9" customWidth="1"/>
    <col min="14338" max="14338" width="29.33203125" style="9" customWidth="1"/>
    <col min="14339" max="14339" width="103.1640625" style="9" customWidth="1"/>
    <col min="14340" max="14592" width="24.5" style="9"/>
    <col min="14593" max="14593" width="6.83203125" style="9" customWidth="1"/>
    <col min="14594" max="14594" width="29.33203125" style="9" customWidth="1"/>
    <col min="14595" max="14595" width="103.1640625" style="9" customWidth="1"/>
    <col min="14596" max="14848" width="24.5" style="9"/>
    <col min="14849" max="14849" width="6.83203125" style="9" customWidth="1"/>
    <col min="14850" max="14850" width="29.33203125" style="9" customWidth="1"/>
    <col min="14851" max="14851" width="103.1640625" style="9" customWidth="1"/>
    <col min="14852" max="15104" width="24.5" style="9"/>
    <col min="15105" max="15105" width="6.83203125" style="9" customWidth="1"/>
    <col min="15106" max="15106" width="29.33203125" style="9" customWidth="1"/>
    <col min="15107" max="15107" width="103.1640625" style="9" customWidth="1"/>
    <col min="15108" max="15360" width="24.5" style="9"/>
    <col min="15361" max="15361" width="6.83203125" style="9" customWidth="1"/>
    <col min="15362" max="15362" width="29.33203125" style="9" customWidth="1"/>
    <col min="15363" max="15363" width="103.1640625" style="9" customWidth="1"/>
    <col min="15364" max="15616" width="24.5" style="9"/>
    <col min="15617" max="15617" width="6.83203125" style="9" customWidth="1"/>
    <col min="15618" max="15618" width="29.33203125" style="9" customWidth="1"/>
    <col min="15619" max="15619" width="103.1640625" style="9" customWidth="1"/>
    <col min="15620" max="15872" width="24.5" style="9"/>
    <col min="15873" max="15873" width="6.83203125" style="9" customWidth="1"/>
    <col min="15874" max="15874" width="29.33203125" style="9" customWidth="1"/>
    <col min="15875" max="15875" width="103.1640625" style="9" customWidth="1"/>
    <col min="15876" max="16128" width="24.5" style="9"/>
    <col min="16129" max="16129" width="6.83203125" style="9" customWidth="1"/>
    <col min="16130" max="16130" width="29.33203125" style="9" customWidth="1"/>
    <col min="16131" max="16131" width="103.1640625" style="9" customWidth="1"/>
    <col min="16132" max="16384" width="24.5" style="9"/>
  </cols>
  <sheetData>
    <row r="1" spans="1:3" ht="14.25" customHeight="1">
      <c r="A1" s="829" t="s">
        <v>148</v>
      </c>
    </row>
    <row r="3" spans="1:3" s="10" customFormat="1" ht="14.25" customHeight="1">
      <c r="A3" s="599" t="s">
        <v>45</v>
      </c>
      <c r="B3" s="599"/>
      <c r="C3" s="832" t="s">
        <v>46</v>
      </c>
    </row>
    <row r="4" spans="1:3" s="10" customFormat="1" ht="38.25" customHeight="1">
      <c r="A4" s="13">
        <v>1</v>
      </c>
      <c r="B4" s="838" t="s">
        <v>71</v>
      </c>
      <c r="C4" s="833" t="s">
        <v>72</v>
      </c>
    </row>
    <row r="5" spans="1:3" s="10" customFormat="1" ht="25.5">
      <c r="A5" s="13">
        <v>2</v>
      </c>
      <c r="B5" s="839" t="s">
        <v>119</v>
      </c>
      <c r="C5" s="833" t="s">
        <v>650</v>
      </c>
    </row>
    <row r="6" spans="1:3" s="10" customFormat="1" ht="27" customHeight="1">
      <c r="A6" s="13">
        <v>3</v>
      </c>
      <c r="B6" s="839" t="s">
        <v>92</v>
      </c>
      <c r="C6" s="834" t="s">
        <v>93</v>
      </c>
    </row>
    <row r="7" spans="1:3" ht="38.25">
      <c r="A7" s="13">
        <v>4</v>
      </c>
      <c r="B7" s="839" t="s">
        <v>636</v>
      </c>
      <c r="C7" s="833" t="s">
        <v>128</v>
      </c>
    </row>
    <row r="8" spans="1:3" ht="51">
      <c r="A8" s="13">
        <v>5</v>
      </c>
      <c r="B8" s="839" t="s">
        <v>100</v>
      </c>
      <c r="C8" s="834" t="s">
        <v>642</v>
      </c>
    </row>
    <row r="9" spans="1:3" ht="25.5">
      <c r="A9" s="13">
        <v>6</v>
      </c>
      <c r="B9" s="839" t="s">
        <v>62</v>
      </c>
      <c r="C9" s="835" t="s">
        <v>129</v>
      </c>
    </row>
    <row r="10" spans="1:3" ht="51">
      <c r="A10" s="13">
        <v>7</v>
      </c>
      <c r="B10" s="839" t="s">
        <v>125</v>
      </c>
      <c r="C10" s="834" t="s">
        <v>126</v>
      </c>
    </row>
    <row r="11" spans="1:3" ht="40.5" customHeight="1">
      <c r="A11" s="13">
        <v>8</v>
      </c>
      <c r="B11" s="839" t="s">
        <v>112</v>
      </c>
      <c r="C11" s="833" t="s">
        <v>113</v>
      </c>
    </row>
    <row r="12" spans="1:3" ht="25.5">
      <c r="A12" s="13">
        <v>9</v>
      </c>
      <c r="B12" s="839" t="s">
        <v>82</v>
      </c>
      <c r="C12" s="834" t="s">
        <v>83</v>
      </c>
    </row>
    <row r="13" spans="1:3" ht="41.25" customHeight="1">
      <c r="A13" s="13">
        <v>10</v>
      </c>
      <c r="B13" s="839" t="s">
        <v>102</v>
      </c>
      <c r="C13" s="833" t="s">
        <v>103</v>
      </c>
    </row>
    <row r="14" spans="1:3" ht="89.25">
      <c r="A14" s="13">
        <v>11</v>
      </c>
      <c r="B14" s="839" t="s">
        <v>627</v>
      </c>
      <c r="C14" s="834" t="s">
        <v>644</v>
      </c>
    </row>
    <row r="15" spans="1:3">
      <c r="A15" s="13">
        <v>12</v>
      </c>
      <c r="B15" s="840" t="s">
        <v>76</v>
      </c>
      <c r="C15" s="833" t="s">
        <v>77</v>
      </c>
    </row>
    <row r="16" spans="1:3" ht="89.25">
      <c r="A16" s="13">
        <v>13</v>
      </c>
      <c r="B16" s="839" t="s">
        <v>96</v>
      </c>
      <c r="C16" s="834" t="s">
        <v>641</v>
      </c>
    </row>
    <row r="17" spans="1:3" ht="25.5">
      <c r="A17" s="13">
        <v>14</v>
      </c>
      <c r="B17" s="839" t="s">
        <v>86</v>
      </c>
      <c r="C17" s="833" t="s">
        <v>87</v>
      </c>
    </row>
    <row r="18" spans="1:3" ht="38.25">
      <c r="A18" s="13">
        <v>15</v>
      </c>
      <c r="B18" s="839" t="s">
        <v>88</v>
      </c>
      <c r="C18" s="834" t="s">
        <v>89</v>
      </c>
    </row>
    <row r="19" spans="1:3" ht="76.5">
      <c r="A19" s="13">
        <v>16</v>
      </c>
      <c r="B19" s="839" t="s">
        <v>97</v>
      </c>
      <c r="C19" s="833" t="s">
        <v>98</v>
      </c>
    </row>
    <row r="20" spans="1:3" ht="25.5">
      <c r="A20" s="13">
        <v>17</v>
      </c>
      <c r="B20" s="840" t="s">
        <v>69</v>
      </c>
      <c r="C20" s="834" t="s">
        <v>631</v>
      </c>
    </row>
    <row r="21" spans="1:3" ht="105.75" customHeight="1">
      <c r="A21" s="13">
        <v>18</v>
      </c>
      <c r="B21" s="839" t="s">
        <v>101</v>
      </c>
      <c r="C21" s="833" t="s">
        <v>643</v>
      </c>
    </row>
    <row r="22" spans="1:3" ht="38.25">
      <c r="A22" s="13">
        <v>19</v>
      </c>
      <c r="B22" s="839" t="s">
        <v>164</v>
      </c>
      <c r="C22" s="833" t="s">
        <v>52</v>
      </c>
    </row>
    <row r="23" spans="1:3">
      <c r="A23" s="13">
        <v>20</v>
      </c>
      <c r="B23" s="839" t="s">
        <v>635</v>
      </c>
      <c r="C23" s="834" t="s">
        <v>48</v>
      </c>
    </row>
    <row r="24" spans="1:3" ht="51">
      <c r="A24" s="13">
        <v>21</v>
      </c>
      <c r="B24" s="839" t="s">
        <v>20</v>
      </c>
      <c r="C24" s="833" t="s">
        <v>629</v>
      </c>
    </row>
    <row r="25" spans="1:3" ht="38.25">
      <c r="A25" s="13">
        <v>22</v>
      </c>
      <c r="B25" s="839" t="s">
        <v>47</v>
      </c>
      <c r="C25" s="834" t="s">
        <v>131</v>
      </c>
    </row>
    <row r="26" spans="1:3" ht="76.5">
      <c r="A26" s="13">
        <v>23</v>
      </c>
      <c r="B26" s="839" t="s">
        <v>104</v>
      </c>
      <c r="C26" s="834" t="s">
        <v>105</v>
      </c>
    </row>
    <row r="27" spans="1:3" ht="40.5" customHeight="1">
      <c r="A27" s="13">
        <v>24</v>
      </c>
      <c r="B27" s="839" t="s">
        <v>625</v>
      </c>
      <c r="C27" s="833" t="s">
        <v>95</v>
      </c>
    </row>
    <row r="28" spans="1:3" ht="25.5">
      <c r="A28" s="13">
        <v>25</v>
      </c>
      <c r="B28" s="839" t="s">
        <v>106</v>
      </c>
      <c r="C28" s="834" t="s">
        <v>107</v>
      </c>
    </row>
    <row r="29" spans="1:3" ht="76.5">
      <c r="A29" s="13">
        <v>26</v>
      </c>
      <c r="B29" s="839" t="s">
        <v>114</v>
      </c>
      <c r="C29" s="833" t="s">
        <v>647</v>
      </c>
    </row>
    <row r="30" spans="1:3" ht="63.75">
      <c r="A30" s="13">
        <v>27</v>
      </c>
      <c r="B30" s="841" t="s">
        <v>91</v>
      </c>
      <c r="C30" s="834" t="s">
        <v>639</v>
      </c>
    </row>
    <row r="31" spans="1:3" ht="38.25">
      <c r="A31" s="13">
        <v>28</v>
      </c>
      <c r="B31" s="841" t="s">
        <v>638</v>
      </c>
      <c r="C31" s="833" t="s">
        <v>90</v>
      </c>
    </row>
    <row r="32" spans="1:3" ht="25.5">
      <c r="A32" s="13">
        <v>29</v>
      </c>
      <c r="B32" s="839" t="s">
        <v>10</v>
      </c>
      <c r="C32" s="834" t="s">
        <v>59</v>
      </c>
    </row>
    <row r="33" spans="1:3" ht="38.25">
      <c r="A33" s="13">
        <v>30</v>
      </c>
      <c r="B33" s="839" t="s">
        <v>115</v>
      </c>
      <c r="C33" s="833" t="s">
        <v>648</v>
      </c>
    </row>
    <row r="34" spans="1:3" ht="25.5">
      <c r="A34" s="13">
        <v>31</v>
      </c>
      <c r="B34" s="839" t="s">
        <v>63</v>
      </c>
      <c r="C34" s="12" t="s">
        <v>130</v>
      </c>
    </row>
    <row r="35" spans="1:3">
      <c r="A35" s="13">
        <v>32</v>
      </c>
      <c r="B35" s="839" t="s">
        <v>84</v>
      </c>
      <c r="C35" s="833" t="s">
        <v>85</v>
      </c>
    </row>
    <row r="36" spans="1:3" ht="30.75" customHeight="1">
      <c r="A36" s="13">
        <v>33</v>
      </c>
      <c r="B36" s="840" t="s">
        <v>68</v>
      </c>
      <c r="C36" s="834" t="s">
        <v>630</v>
      </c>
    </row>
    <row r="37" spans="1:3" ht="25.5">
      <c r="A37" s="13">
        <v>34</v>
      </c>
      <c r="B37" s="839" t="s">
        <v>64</v>
      </c>
      <c r="C37" s="833" t="s">
        <v>65</v>
      </c>
    </row>
    <row r="38" spans="1:3" ht="27" customHeight="1">
      <c r="A38" s="13">
        <v>35</v>
      </c>
      <c r="B38" s="839" t="s">
        <v>66</v>
      </c>
      <c r="C38" s="834" t="s">
        <v>67</v>
      </c>
    </row>
    <row r="39" spans="1:3" ht="118.5" customHeight="1">
      <c r="A39" s="13">
        <v>36</v>
      </c>
      <c r="B39" s="839" t="s">
        <v>628</v>
      </c>
      <c r="C39" s="836" t="s">
        <v>652</v>
      </c>
    </row>
    <row r="40" spans="1:3" ht="106.5" customHeight="1">
      <c r="A40" s="13">
        <v>37</v>
      </c>
      <c r="B40" s="839" t="s">
        <v>628</v>
      </c>
      <c r="C40" s="837" t="s">
        <v>646</v>
      </c>
    </row>
    <row r="41" spans="1:3" ht="42.75" customHeight="1">
      <c r="A41" s="13">
        <v>38</v>
      </c>
      <c r="B41" s="839" t="s">
        <v>60</v>
      </c>
      <c r="C41" s="833" t="s">
        <v>61</v>
      </c>
    </row>
    <row r="42" spans="1:3" ht="14.25" customHeight="1">
      <c r="A42" s="13">
        <v>39</v>
      </c>
      <c r="B42" s="839" t="s">
        <v>117</v>
      </c>
      <c r="C42" s="834" t="s">
        <v>118</v>
      </c>
    </row>
    <row r="43" spans="1:3" ht="25.5">
      <c r="A43" s="13">
        <v>40</v>
      </c>
      <c r="B43" s="839" t="s">
        <v>123</v>
      </c>
      <c r="C43" s="833" t="s">
        <v>124</v>
      </c>
    </row>
    <row r="44" spans="1:3" ht="25.5">
      <c r="A44" s="13">
        <v>41</v>
      </c>
      <c r="B44" s="840" t="s">
        <v>632</v>
      </c>
      <c r="C44" s="833" t="s">
        <v>633</v>
      </c>
    </row>
    <row r="45" spans="1:3">
      <c r="A45" s="13">
        <v>42</v>
      </c>
      <c r="B45" s="840" t="s">
        <v>73</v>
      </c>
      <c r="C45" s="834" t="s">
        <v>637</v>
      </c>
    </row>
    <row r="46" spans="1:3" ht="27" customHeight="1">
      <c r="A46" s="13">
        <v>43</v>
      </c>
      <c r="B46" s="839" t="s">
        <v>108</v>
      </c>
      <c r="C46" s="833" t="s">
        <v>109</v>
      </c>
    </row>
    <row r="47" spans="1:3">
      <c r="A47" s="13">
        <v>44</v>
      </c>
      <c r="B47" s="839" t="s">
        <v>626</v>
      </c>
      <c r="C47" s="834" t="s">
        <v>99</v>
      </c>
    </row>
    <row r="48" spans="1:3" ht="38.25">
      <c r="A48" s="13">
        <v>45</v>
      </c>
      <c r="B48" s="840" t="s">
        <v>74</v>
      </c>
      <c r="C48" s="833" t="s">
        <v>75</v>
      </c>
    </row>
    <row r="49" spans="1:3" ht="38.25">
      <c r="A49" s="13">
        <v>46</v>
      </c>
      <c r="B49" s="839" t="s">
        <v>78</v>
      </c>
      <c r="C49" s="834" t="s">
        <v>79</v>
      </c>
    </row>
    <row r="50" spans="1:3">
      <c r="A50" s="13">
        <v>47</v>
      </c>
      <c r="B50" s="839" t="s">
        <v>80</v>
      </c>
      <c r="C50" s="833" t="s">
        <v>81</v>
      </c>
    </row>
    <row r="51" spans="1:3" ht="51">
      <c r="A51" s="13">
        <v>48</v>
      </c>
      <c r="B51" s="839" t="s">
        <v>624</v>
      </c>
      <c r="C51" s="834" t="s">
        <v>58</v>
      </c>
    </row>
    <row r="52" spans="1:3" ht="66" customHeight="1">
      <c r="A52" s="13">
        <v>49</v>
      </c>
      <c r="B52" s="839" t="s">
        <v>21</v>
      </c>
      <c r="C52" s="835" t="s">
        <v>57</v>
      </c>
    </row>
    <row r="53" spans="1:3" ht="38.25">
      <c r="A53" s="13">
        <v>50</v>
      </c>
      <c r="B53" s="839" t="s">
        <v>50</v>
      </c>
      <c r="C53" s="834" t="s">
        <v>51</v>
      </c>
    </row>
    <row r="54" spans="1:3" ht="42.75" customHeight="1">
      <c r="A54" s="13">
        <v>51</v>
      </c>
      <c r="B54" s="839" t="s">
        <v>53</v>
      </c>
      <c r="C54" s="833" t="s">
        <v>54</v>
      </c>
    </row>
    <row r="55" spans="1:3" ht="25.5">
      <c r="A55" s="13">
        <v>52</v>
      </c>
      <c r="B55" s="839" t="s">
        <v>3</v>
      </c>
      <c r="C55" s="834" t="s">
        <v>49</v>
      </c>
    </row>
    <row r="56" spans="1:3" ht="28.5" customHeight="1">
      <c r="A56" s="13">
        <v>53</v>
      </c>
      <c r="B56" s="839" t="s">
        <v>55</v>
      </c>
      <c r="C56" s="833" t="s">
        <v>56</v>
      </c>
    </row>
    <row r="57" spans="1:3" ht="53.25" customHeight="1">
      <c r="A57" s="13">
        <v>54</v>
      </c>
      <c r="B57" s="839" t="s">
        <v>94</v>
      </c>
      <c r="C57" s="834" t="s">
        <v>640</v>
      </c>
    </row>
    <row r="58" spans="1:3">
      <c r="A58" s="13">
        <v>55</v>
      </c>
      <c r="B58" s="840" t="s">
        <v>70</v>
      </c>
      <c r="C58" s="833" t="s">
        <v>634</v>
      </c>
    </row>
    <row r="59" spans="1:3" ht="25.5" customHeight="1">
      <c r="A59" s="13">
        <v>56</v>
      </c>
      <c r="B59" s="839" t="s">
        <v>111</v>
      </c>
      <c r="C59" s="834" t="s">
        <v>645</v>
      </c>
    </row>
    <row r="60" spans="1:3" ht="25.5">
      <c r="A60" s="13">
        <v>57</v>
      </c>
      <c r="B60" s="839" t="s">
        <v>116</v>
      </c>
      <c r="C60" s="833" t="s">
        <v>649</v>
      </c>
    </row>
    <row r="61" spans="1:3" ht="25.5">
      <c r="A61" s="13">
        <v>58</v>
      </c>
      <c r="B61" s="839" t="s">
        <v>120</v>
      </c>
      <c r="C61" s="834" t="s">
        <v>121</v>
      </c>
    </row>
    <row r="62" spans="1:3" ht="25.5">
      <c r="A62" s="13">
        <v>59</v>
      </c>
      <c r="B62" s="839" t="s">
        <v>122</v>
      </c>
      <c r="C62" s="833" t="s">
        <v>651</v>
      </c>
    </row>
    <row r="63" spans="1:3" ht="76.5">
      <c r="A63" s="13">
        <v>60</v>
      </c>
      <c r="B63" s="839" t="s">
        <v>110</v>
      </c>
      <c r="C63" s="833" t="s">
        <v>653</v>
      </c>
    </row>
    <row r="65" spans="1:1">
      <c r="A65" s="14" t="s">
        <v>127</v>
      </c>
    </row>
  </sheetData>
  <sortState ref="B4:C65">
    <sortCondition ref="B4"/>
  </sortState>
  <mergeCells count="1">
    <mergeCell ref="A3:B3"/>
  </mergeCells>
  <hyperlinks>
    <hyperlink ref="A1" location="Indice!A1" display="Cuadro 5.2. Glosario de la Cuenta Integrada de Gastos y Transacciones Ambientales"/>
  </hyperlinks>
  <pageMargins left="0.7" right="0.7" top="0.75" bottom="0.75" header="0.3" footer="0.3"/>
  <pageSetup scale="26" orientation="portrait" r:id="rId1"/>
  <headerFooter alignWithMargins="0"/>
</worksheet>
</file>

<file path=xl/worksheets/sheet6.xml><?xml version="1.0" encoding="utf-8"?>
<worksheet xmlns="http://schemas.openxmlformats.org/spreadsheetml/2006/main" xmlns:r="http://schemas.openxmlformats.org/officeDocument/2006/relationships">
  <sheetPr>
    <tabColor theme="3" tint="0.39997558519241921"/>
    <pageSetUpPr fitToPage="1"/>
  </sheetPr>
  <dimension ref="A1:I28"/>
  <sheetViews>
    <sheetView showGridLines="0" topLeftCell="A3" workbookViewId="0">
      <selection activeCell="A3" sqref="A3"/>
    </sheetView>
  </sheetViews>
  <sheetFormatPr baseColWidth="10" defaultRowHeight="12.75"/>
  <cols>
    <col min="1" max="2" width="2.1640625" style="44" customWidth="1"/>
    <col min="3" max="3" width="50.5" style="137" customWidth="1"/>
    <col min="4" max="5" width="12.1640625" style="44" bestFit="1" customWidth="1"/>
    <col min="6" max="6" width="18.1640625" style="44" bestFit="1" customWidth="1"/>
    <col min="7" max="7" width="12.83203125" style="44" customWidth="1"/>
    <col min="8" max="9" width="19" style="44" bestFit="1" customWidth="1"/>
    <col min="10" max="16384" width="12" style="44"/>
  </cols>
  <sheetData>
    <row r="1" spans="1:9" hidden="1">
      <c r="C1" s="7" t="s">
        <v>204</v>
      </c>
      <c r="D1" s="76"/>
    </row>
    <row r="2" spans="1:9" hidden="1">
      <c r="D2" s="18"/>
      <c r="G2" s="18"/>
      <c r="H2" s="18"/>
      <c r="I2" s="18"/>
    </row>
    <row r="3" spans="1:9">
      <c r="C3" s="21" t="s">
        <v>169</v>
      </c>
      <c r="D3" s="18"/>
      <c r="E3" s="18"/>
      <c r="F3" s="18"/>
      <c r="G3" s="18"/>
      <c r="H3" s="18"/>
      <c r="I3" s="18"/>
    </row>
    <row r="4" spans="1:9" ht="12" customHeight="1">
      <c r="C4" s="21" t="s">
        <v>590</v>
      </c>
      <c r="D4" s="19"/>
      <c r="E4" s="19"/>
      <c r="F4" s="18"/>
      <c r="G4" s="19"/>
      <c r="H4" s="19"/>
      <c r="I4" s="19"/>
    </row>
    <row r="5" spans="1:9">
      <c r="C5" s="238" t="s">
        <v>31</v>
      </c>
      <c r="D5" s="18"/>
      <c r="E5" s="18"/>
      <c r="F5" s="18"/>
      <c r="G5" s="18"/>
      <c r="H5" s="18"/>
      <c r="I5" s="18"/>
    </row>
    <row r="6" spans="1:9">
      <c r="C6" s="238" t="s">
        <v>213</v>
      </c>
      <c r="D6" s="18"/>
      <c r="E6" s="18"/>
      <c r="F6" s="18"/>
      <c r="G6" s="18"/>
      <c r="H6" s="18"/>
      <c r="I6" s="18"/>
    </row>
    <row r="7" spans="1:9">
      <c r="C7" s="252" t="s">
        <v>29</v>
      </c>
      <c r="D7" s="18"/>
      <c r="E7" s="18"/>
      <c r="F7" s="18"/>
      <c r="G7" s="18"/>
      <c r="H7" s="18"/>
      <c r="I7" s="18"/>
    </row>
    <row r="8" spans="1:9">
      <c r="C8" s="44"/>
      <c r="D8" s="18"/>
      <c r="E8" s="18"/>
      <c r="F8" s="18"/>
      <c r="G8" s="18"/>
      <c r="H8" s="18"/>
      <c r="I8" s="18"/>
    </row>
    <row r="9" spans="1:9">
      <c r="A9" s="600" t="s">
        <v>157</v>
      </c>
      <c r="B9" s="600"/>
      <c r="C9" s="600"/>
      <c r="D9" s="619">
        <v>2005</v>
      </c>
      <c r="E9" s="618"/>
      <c r="F9" s="618"/>
      <c r="G9" s="617">
        <v>2006</v>
      </c>
      <c r="H9" s="618"/>
      <c r="I9" s="618"/>
    </row>
    <row r="10" spans="1:9" ht="13.5" customHeight="1">
      <c r="A10" s="601"/>
      <c r="B10" s="601"/>
      <c r="C10" s="601"/>
      <c r="D10" s="615" t="s">
        <v>205</v>
      </c>
      <c r="E10" s="615" t="s">
        <v>0</v>
      </c>
      <c r="F10" s="615" t="s">
        <v>559</v>
      </c>
      <c r="G10" s="600" t="s">
        <v>205</v>
      </c>
      <c r="H10" s="600" t="s">
        <v>0</v>
      </c>
      <c r="I10" s="600" t="s">
        <v>559</v>
      </c>
    </row>
    <row r="11" spans="1:9" ht="13.5" customHeight="1">
      <c r="A11" s="602"/>
      <c r="B11" s="602"/>
      <c r="C11" s="602"/>
      <c r="D11" s="616"/>
      <c r="E11" s="616"/>
      <c r="F11" s="616"/>
      <c r="G11" s="602"/>
      <c r="H11" s="602"/>
      <c r="I11" s="602"/>
    </row>
    <row r="12" spans="1:9">
      <c r="A12" s="253" t="s">
        <v>211</v>
      </c>
      <c r="B12" s="253"/>
      <c r="C12" s="199"/>
      <c r="D12" s="254"/>
      <c r="E12" s="254"/>
      <c r="F12" s="254"/>
      <c r="G12" s="254"/>
      <c r="H12" s="254"/>
      <c r="I12" s="254"/>
    </row>
    <row r="13" spans="1:9">
      <c r="C13" s="814" t="s">
        <v>164</v>
      </c>
      <c r="D13" s="243">
        <f>57199.3082391839/1000000</f>
        <v>5.7199308239183899E-2</v>
      </c>
      <c r="E13" s="243">
        <f>128005.704682851/1000000</f>
        <v>0.128005704682851</v>
      </c>
      <c r="F13" s="243">
        <f>185205.012922034/1000000</f>
        <v>0.18520501292203398</v>
      </c>
      <c r="G13" s="243">
        <f>970096.209092775/1000000</f>
        <v>0.97009620909277505</v>
      </c>
      <c r="H13" s="243">
        <f>2249915.35652553/1000000</f>
        <v>2.2499153565255301</v>
      </c>
      <c r="I13" s="243">
        <f>3220011.56561831/1000000</f>
        <v>3.2200115656183099</v>
      </c>
    </row>
    <row r="14" spans="1:9">
      <c r="C14" s="814" t="s">
        <v>161</v>
      </c>
      <c r="D14" s="243">
        <f>816619.467082144/1000000</f>
        <v>0.81661946708214395</v>
      </c>
      <c r="E14" s="243">
        <f>554700.089460638/1000000</f>
        <v>0.55470008946063798</v>
      </c>
      <c r="F14" s="243">
        <f>1371319.55654278/1000000</f>
        <v>1.37131955654278</v>
      </c>
      <c r="G14" s="243">
        <f>22865689.6696409/1000000</f>
        <v>22.865689669640897</v>
      </c>
      <c r="H14" s="243">
        <f>4244232.62779923/1000000</f>
        <v>4.2442326277992297</v>
      </c>
      <c r="I14" s="243">
        <f>27109922.2974401/1000000</f>
        <v>27.1099222974401</v>
      </c>
    </row>
    <row r="15" spans="1:9">
      <c r="C15" s="156" t="s">
        <v>9</v>
      </c>
      <c r="D15" s="243">
        <f>125672.021977491/1000000</f>
        <v>0.125672021977491</v>
      </c>
      <c r="E15" s="243">
        <v>0</v>
      </c>
      <c r="F15" s="243">
        <f>125672.021977491/1000000</f>
        <v>0.125672021977491</v>
      </c>
      <c r="G15" s="243">
        <f>4019780.12642067/1000000</f>
        <v>4.0197801264206703</v>
      </c>
      <c r="H15" s="243">
        <f>75833.7819326224/1000000</f>
        <v>7.5833781932622399E-2</v>
      </c>
      <c r="I15" s="243">
        <f>4095613.9083533/1000000</f>
        <v>4.0956139083532994</v>
      </c>
    </row>
    <row r="16" spans="1:9">
      <c r="C16" s="156" t="s">
        <v>11</v>
      </c>
      <c r="D16" s="243">
        <f>39965.2078207702/1000000</f>
        <v>3.9965207820770197E-2</v>
      </c>
      <c r="E16" s="243">
        <v>0</v>
      </c>
      <c r="F16" s="243">
        <f>39965.2078207702/1000000</f>
        <v>3.9965207820770197E-2</v>
      </c>
      <c r="G16" s="243">
        <f>2879799.17945243/1000000</f>
        <v>2.87979917945243</v>
      </c>
      <c r="H16" s="243">
        <f>37567.4051245011/1000000</f>
        <v>3.7567405124501102E-2</v>
      </c>
      <c r="I16" s="243">
        <f>2917366.58457693/1000000</f>
        <v>2.9173665845769299</v>
      </c>
    </row>
    <row r="17" spans="1:9" s="635" customFormat="1">
      <c r="A17" s="631"/>
      <c r="B17" s="631" t="s">
        <v>556</v>
      </c>
      <c r="C17" s="632"/>
      <c r="D17" s="636">
        <f>1039456.00511959/1000000</f>
        <v>1.03945600511959</v>
      </c>
      <c r="E17" s="636">
        <f>682705.794143489/1000000</f>
        <v>0.68270579414348898</v>
      </c>
      <c r="F17" s="636">
        <f>1722161.79926308/1000000</f>
        <v>1.7221617992630802</v>
      </c>
      <c r="G17" s="636">
        <f>30735365.1846068/1000000</f>
        <v>30.735365184606803</v>
      </c>
      <c r="H17" s="636">
        <f>6607549.17138189/1000000</f>
        <v>6.6075491713818897</v>
      </c>
      <c r="I17" s="636">
        <f>37342914.3559886/1000000</f>
        <v>37.342914355988597</v>
      </c>
    </row>
    <row r="18" spans="1:9">
      <c r="A18" s="157" t="s">
        <v>212</v>
      </c>
      <c r="B18" s="157"/>
      <c r="C18" s="202"/>
      <c r="D18" s="248">
        <v>0</v>
      </c>
      <c r="E18" s="248">
        <v>0</v>
      </c>
      <c r="F18" s="248">
        <v>0</v>
      </c>
      <c r="G18" s="248">
        <v>0</v>
      </c>
      <c r="H18" s="248">
        <v>0</v>
      </c>
      <c r="I18" s="248">
        <v>0</v>
      </c>
    </row>
    <row r="19" spans="1:9">
      <c r="C19" s="156" t="s">
        <v>13</v>
      </c>
      <c r="D19" s="243">
        <f>128192.199713376/1000000</f>
        <v>0.128192199713376</v>
      </c>
      <c r="E19" s="243">
        <v>0</v>
      </c>
      <c r="F19" s="243">
        <f>128192.199713376/1000000</f>
        <v>0.128192199713376</v>
      </c>
      <c r="G19" s="243">
        <f>2105679.13455174/1000000</f>
        <v>2.1056791345517398</v>
      </c>
      <c r="H19" s="243">
        <v>0</v>
      </c>
      <c r="I19" s="243">
        <f>2105679.13455174/1000000</f>
        <v>2.1056791345517398</v>
      </c>
    </row>
    <row r="20" spans="1:9">
      <c r="C20" s="156" t="s">
        <v>14</v>
      </c>
      <c r="D20" s="243">
        <f>249033.77669318/1000000</f>
        <v>0.24903377669318</v>
      </c>
      <c r="E20" s="243">
        <v>0</v>
      </c>
      <c r="F20" s="243">
        <f>249033.77669318/1000000</f>
        <v>0.24903377669318</v>
      </c>
      <c r="G20" s="243">
        <f>1621590.61463593/1000000</f>
        <v>1.62159061463593</v>
      </c>
      <c r="H20" s="243">
        <v>0</v>
      </c>
      <c r="I20" s="243">
        <f>1621590.61463593/1000000</f>
        <v>1.62159061463593</v>
      </c>
    </row>
    <row r="21" spans="1:9" s="635" customFormat="1">
      <c r="A21" s="631"/>
      <c r="B21" s="631" t="s">
        <v>557</v>
      </c>
      <c r="C21" s="632"/>
      <c r="D21" s="636">
        <f>377225.976406557/1000000</f>
        <v>0.37722597640655703</v>
      </c>
      <c r="E21" s="636">
        <v>0</v>
      </c>
      <c r="F21" s="636">
        <f>377225.976406557/1000000</f>
        <v>0.37722597640655703</v>
      </c>
      <c r="G21" s="636">
        <f>3727269.74918767/1000000</f>
        <v>3.7272697491876703</v>
      </c>
      <c r="H21" s="636">
        <v>0</v>
      </c>
      <c r="I21" s="636">
        <f>3727269.74918767/1000000</f>
        <v>3.7272697491876703</v>
      </c>
    </row>
    <row r="22" spans="1:9" ht="15">
      <c r="A22" s="160" t="s">
        <v>591</v>
      </c>
      <c r="B22" s="160"/>
      <c r="C22" s="203"/>
      <c r="D22" s="250">
        <f>1416681.98152615/1000000</f>
        <v>1.41668198152615</v>
      </c>
      <c r="E22" s="250">
        <f>682705.794143489/1000000</f>
        <v>0.68270579414348898</v>
      </c>
      <c r="F22" s="250">
        <f>2099387.77566963/1000000</f>
        <v>2.09938777566963</v>
      </c>
      <c r="G22" s="250">
        <f>34462634.9337944/1000000</f>
        <v>34.462634933794405</v>
      </c>
      <c r="H22" s="250">
        <f>6607549.17138189/1000000</f>
        <v>6.6075491713818897</v>
      </c>
      <c r="I22" s="250">
        <f>41070184.1051763/1000000</f>
        <v>41.070184105176303</v>
      </c>
    </row>
    <row r="23" spans="1:9">
      <c r="A23" s="270" t="s">
        <v>548</v>
      </c>
      <c r="D23" s="255"/>
      <c r="E23" s="153"/>
      <c r="F23" s="153"/>
      <c r="G23" s="255"/>
      <c r="H23" s="255"/>
      <c r="I23" s="255"/>
    </row>
    <row r="24" spans="1:9">
      <c r="A24" s="270" t="s">
        <v>549</v>
      </c>
      <c r="C24" s="156"/>
      <c r="D24" s="255"/>
      <c r="E24" s="153"/>
      <c r="F24" s="153"/>
      <c r="G24" s="255"/>
      <c r="H24" s="255"/>
      <c r="I24" s="255"/>
    </row>
    <row r="25" spans="1:9" ht="15">
      <c r="A25" s="813" t="s">
        <v>587</v>
      </c>
    </row>
    <row r="26" spans="1:9" ht="15">
      <c r="A26" s="270" t="s">
        <v>586</v>
      </c>
    </row>
    <row r="28" spans="1:9">
      <c r="A28" s="153" t="s">
        <v>170</v>
      </c>
    </row>
  </sheetData>
  <mergeCells count="9">
    <mergeCell ref="I10:I11"/>
    <mergeCell ref="A9:C11"/>
    <mergeCell ref="D10:D11"/>
    <mergeCell ref="E10:E11"/>
    <mergeCell ref="F10:F11"/>
    <mergeCell ref="G10:G11"/>
    <mergeCell ref="H10:H11"/>
    <mergeCell ref="D9:F9"/>
    <mergeCell ref="G9:I9"/>
  </mergeCells>
  <hyperlinks>
    <hyperlink ref="C1" location="Indice!A1" display="Cuado 1.2 Gasto ambiental del Gobierno local, por clasificación CAPA y CGRN"/>
  </hyperlinks>
  <pageMargins left="0.7" right="0.7" top="0.75" bottom="0.75" header="0.3" footer="0.3"/>
  <pageSetup scale="75" orientation="portrait" r:id="rId1"/>
</worksheet>
</file>

<file path=xl/worksheets/sheet7.xml><?xml version="1.0" encoding="utf-8"?>
<worksheet xmlns="http://schemas.openxmlformats.org/spreadsheetml/2006/main" xmlns:r="http://schemas.openxmlformats.org/officeDocument/2006/relationships">
  <sheetPr>
    <tabColor theme="3" tint="0.39997558519241921"/>
    <pageSetUpPr fitToPage="1"/>
  </sheetPr>
  <dimension ref="A1:I29"/>
  <sheetViews>
    <sheetView showGridLines="0" topLeftCell="A4" workbookViewId="0">
      <selection activeCell="A4" sqref="A4"/>
    </sheetView>
  </sheetViews>
  <sheetFormatPr baseColWidth="10" defaultRowHeight="12.75"/>
  <cols>
    <col min="1" max="2" width="2.1640625" style="44" customWidth="1"/>
    <col min="3" max="3" width="50" style="137" customWidth="1"/>
    <col min="4" max="4" width="12" style="44" customWidth="1"/>
    <col min="5" max="5" width="12.1640625" style="44" bestFit="1" customWidth="1"/>
    <col min="6" max="6" width="18.1640625" style="44" bestFit="1" customWidth="1"/>
    <col min="7" max="7" width="12.83203125" style="44" customWidth="1"/>
    <col min="8" max="9" width="19" style="44" bestFit="1" customWidth="1"/>
    <col min="10" max="16384" width="12" style="44"/>
  </cols>
  <sheetData>
    <row r="1" spans="1:9" hidden="1">
      <c r="C1" s="156"/>
      <c r="D1" s="255"/>
      <c r="E1" s="153"/>
      <c r="F1" s="153"/>
      <c r="G1" s="255"/>
      <c r="H1" s="255"/>
      <c r="I1" s="255"/>
    </row>
    <row r="2" spans="1:9" hidden="1">
      <c r="C2" s="48" t="s">
        <v>206</v>
      </c>
      <c r="D2" s="153"/>
      <c r="E2" s="153"/>
      <c r="F2" s="153"/>
      <c r="G2" s="153"/>
      <c r="H2" s="153"/>
      <c r="I2" s="153"/>
    </row>
    <row r="3" spans="1:9" hidden="1">
      <c r="C3" s="156"/>
      <c r="D3" s="153"/>
      <c r="E3" s="153"/>
      <c r="F3" s="153"/>
      <c r="G3" s="153"/>
      <c r="H3" s="153"/>
      <c r="I3" s="153"/>
    </row>
    <row r="4" spans="1:9">
      <c r="C4" s="23" t="s">
        <v>168</v>
      </c>
      <c r="D4" s="24"/>
      <c r="E4" s="24"/>
      <c r="F4" s="24"/>
      <c r="G4" s="24"/>
      <c r="H4" s="24"/>
      <c r="I4" s="255"/>
    </row>
    <row r="5" spans="1:9" ht="11.25" customHeight="1">
      <c r="C5" s="23" t="s">
        <v>592</v>
      </c>
      <c r="D5" s="24"/>
      <c r="E5" s="24"/>
      <c r="F5" s="24"/>
      <c r="G5" s="24"/>
      <c r="H5" s="24"/>
      <c r="I5" s="255"/>
    </row>
    <row r="6" spans="1:9">
      <c r="C6" s="256" t="s">
        <v>2</v>
      </c>
      <c r="D6" s="255"/>
      <c r="E6" s="255"/>
      <c r="F6" s="255"/>
      <c r="G6" s="255"/>
      <c r="H6" s="255"/>
      <c r="I6" s="255"/>
    </row>
    <row r="7" spans="1:9">
      <c r="C7" s="256" t="s">
        <v>215</v>
      </c>
      <c r="D7" s="255"/>
      <c r="E7" s="255"/>
      <c r="F7" s="255"/>
      <c r="G7" s="255"/>
      <c r="H7" s="255"/>
      <c r="I7" s="255"/>
    </row>
    <row r="8" spans="1:9">
      <c r="C8" s="256" t="s">
        <v>28</v>
      </c>
      <c r="D8" s="255"/>
      <c r="E8" s="255"/>
      <c r="F8" s="255"/>
      <c r="G8" s="255"/>
      <c r="H8" s="255"/>
      <c r="I8" s="255"/>
    </row>
    <row r="9" spans="1:9">
      <c r="C9" s="44"/>
      <c r="D9" s="255"/>
      <c r="E9" s="255"/>
      <c r="F9" s="255"/>
      <c r="G9" s="255"/>
      <c r="H9" s="255"/>
      <c r="I9" s="255"/>
    </row>
    <row r="10" spans="1:9">
      <c r="A10" s="600" t="s">
        <v>175</v>
      </c>
      <c r="B10" s="600"/>
      <c r="C10" s="600"/>
      <c r="D10" s="620">
        <v>2005</v>
      </c>
      <c r="E10" s="623"/>
      <c r="F10" s="623"/>
      <c r="G10" s="624">
        <v>2006</v>
      </c>
      <c r="H10" s="623"/>
      <c r="I10" s="623"/>
    </row>
    <row r="11" spans="1:9" ht="13.5" customHeight="1">
      <c r="A11" s="601"/>
      <c r="B11" s="601"/>
      <c r="C11" s="601"/>
      <c r="D11" s="607" t="s">
        <v>205</v>
      </c>
      <c r="E11" s="607" t="s">
        <v>0</v>
      </c>
      <c r="F11" s="607" t="s">
        <v>559</v>
      </c>
      <c r="G11" s="604" t="s">
        <v>205</v>
      </c>
      <c r="H11" s="604" t="s">
        <v>0</v>
      </c>
      <c r="I11" s="604" t="s">
        <v>559</v>
      </c>
    </row>
    <row r="12" spans="1:9" ht="13.5" customHeight="1">
      <c r="A12" s="602"/>
      <c r="B12" s="602"/>
      <c r="C12" s="602"/>
      <c r="D12" s="608"/>
      <c r="E12" s="608"/>
      <c r="F12" s="608"/>
      <c r="G12" s="605"/>
      <c r="H12" s="605"/>
      <c r="I12" s="605"/>
    </row>
    <row r="13" spans="1:9">
      <c r="A13" s="198" t="s">
        <v>211</v>
      </c>
      <c r="B13" s="198"/>
      <c r="C13" s="198"/>
      <c r="D13" s="254"/>
      <c r="E13" s="254"/>
      <c r="F13" s="254"/>
      <c r="G13" s="254"/>
      <c r="H13" s="254"/>
      <c r="I13" s="254"/>
    </row>
    <row r="14" spans="1:9">
      <c r="C14" s="814" t="s">
        <v>164</v>
      </c>
      <c r="D14" s="243">
        <v>0.39579075280506471</v>
      </c>
      <c r="E14" s="243">
        <v>1.0951508870617039</v>
      </c>
      <c r="F14" s="243">
        <v>1.4909416398667685</v>
      </c>
      <c r="G14" s="243">
        <v>26.828180097977885</v>
      </c>
      <c r="H14" s="243">
        <v>85.998586353713819</v>
      </c>
      <c r="I14" s="243">
        <v>112.82676645169171</v>
      </c>
    </row>
    <row r="15" spans="1:9">
      <c r="C15" s="814" t="s">
        <v>161</v>
      </c>
      <c r="D15" s="243">
        <v>0.81661946708214428</v>
      </c>
      <c r="E15" s="243">
        <v>0.55470008946063831</v>
      </c>
      <c r="F15" s="243">
        <v>1.3713195565427823</v>
      </c>
      <c r="G15" s="243">
        <v>22.865689669640862</v>
      </c>
      <c r="H15" s="243">
        <v>4.2442326277992333</v>
      </c>
      <c r="I15" s="243">
        <v>27.109922297440093</v>
      </c>
    </row>
    <row r="16" spans="1:9">
      <c r="C16" s="156" t="s">
        <v>9</v>
      </c>
      <c r="D16" s="243">
        <v>0.12567202197749089</v>
      </c>
      <c r="E16" s="243">
        <v>0</v>
      </c>
      <c r="F16" s="243">
        <v>0.12567202197749089</v>
      </c>
      <c r="G16" s="243">
        <v>4.0197801264206729</v>
      </c>
      <c r="H16" s="243">
        <v>7.583378193262244E-2</v>
      </c>
      <c r="I16" s="243">
        <v>4.095613908353295</v>
      </c>
    </row>
    <row r="17" spans="1:9">
      <c r="C17" s="156" t="s">
        <v>11</v>
      </c>
      <c r="D17" s="243">
        <v>3.9965207820770246E-2</v>
      </c>
      <c r="E17" s="243">
        <v>0</v>
      </c>
      <c r="F17" s="243">
        <v>3.9965207820770246E-2</v>
      </c>
      <c r="G17" s="243">
        <v>2.8797991794524287</v>
      </c>
      <c r="H17" s="243">
        <v>3.7567405124501088E-2</v>
      </c>
      <c r="I17" s="243">
        <v>2.9173665845769294</v>
      </c>
    </row>
    <row r="18" spans="1:9" s="635" customFormat="1">
      <c r="A18" s="631"/>
      <c r="B18" s="631" t="s">
        <v>556</v>
      </c>
      <c r="C18" s="632"/>
      <c r="D18" s="636">
        <v>1.37804744968547</v>
      </c>
      <c r="E18" s="636">
        <v>1.6498509765223424</v>
      </c>
      <c r="F18" s="636">
        <v>3.0278984262078126</v>
      </c>
      <c r="G18" s="636">
        <v>56.593449073491833</v>
      </c>
      <c r="H18" s="636">
        <v>90.356220168570175</v>
      </c>
      <c r="I18" s="636">
        <v>146.94966924206201</v>
      </c>
    </row>
    <row r="19" spans="1:9">
      <c r="A19" s="157" t="s">
        <v>212</v>
      </c>
      <c r="B19" s="157"/>
      <c r="C19" s="202"/>
      <c r="D19" s="248">
        <v>0</v>
      </c>
      <c r="E19" s="248">
        <v>0</v>
      </c>
      <c r="F19" s="248">
        <v>0</v>
      </c>
      <c r="G19" s="248">
        <v>0</v>
      </c>
      <c r="H19" s="248">
        <v>0</v>
      </c>
      <c r="I19" s="248">
        <v>0</v>
      </c>
    </row>
    <row r="20" spans="1:9">
      <c r="C20" s="156" t="s">
        <v>13</v>
      </c>
      <c r="D20" s="243">
        <v>2.0456843038972252</v>
      </c>
      <c r="E20" s="243">
        <v>5.1843305039044827</v>
      </c>
      <c r="F20" s="243">
        <v>7.230014807801707</v>
      </c>
      <c r="G20" s="243">
        <v>86.317002016869694</v>
      </c>
      <c r="H20" s="243">
        <v>227.68246557071171</v>
      </c>
      <c r="I20" s="243">
        <v>313.99946758758142</v>
      </c>
    </row>
    <row r="21" spans="1:9">
      <c r="C21" s="156" t="s">
        <v>14</v>
      </c>
      <c r="D21" s="243">
        <v>0.24903377669318041</v>
      </c>
      <c r="E21" s="243">
        <v>0</v>
      </c>
      <c r="F21" s="243">
        <v>0.24903377669318041</v>
      </c>
      <c r="G21" s="243">
        <v>1.6215906146359327</v>
      </c>
      <c r="H21" s="243">
        <v>0</v>
      </c>
      <c r="I21" s="243">
        <v>1.6215906146359327</v>
      </c>
    </row>
    <row r="22" spans="1:9" s="635" customFormat="1">
      <c r="A22" s="631"/>
      <c r="B22" s="631" t="s">
        <v>557</v>
      </c>
      <c r="C22" s="632"/>
      <c r="D22" s="636">
        <v>2.2947180805904055</v>
      </c>
      <c r="E22" s="636">
        <v>5.1843305039044827</v>
      </c>
      <c r="F22" s="636">
        <v>7.4790485844948869</v>
      </c>
      <c r="G22" s="636">
        <v>87.938592631505628</v>
      </c>
      <c r="H22" s="636">
        <v>227.68246557071171</v>
      </c>
      <c r="I22" s="636">
        <v>315.62105820221734</v>
      </c>
    </row>
    <row r="23" spans="1:9" ht="15">
      <c r="A23" s="160" t="s">
        <v>591</v>
      </c>
      <c r="B23" s="160"/>
      <c r="C23" s="203"/>
      <c r="D23" s="250">
        <v>3.6727655302758753</v>
      </c>
      <c r="E23" s="250">
        <v>6.8341814804268246</v>
      </c>
      <c r="F23" s="250">
        <v>10.506947010702699</v>
      </c>
      <c r="G23" s="250">
        <v>144.53204170499748</v>
      </c>
      <c r="H23" s="250">
        <v>318.0386857392819</v>
      </c>
      <c r="I23" s="250">
        <v>462.57072744427933</v>
      </c>
    </row>
    <row r="24" spans="1:9">
      <c r="A24" s="270" t="s">
        <v>210</v>
      </c>
    </row>
    <row r="25" spans="1:9">
      <c r="A25" s="270" t="s">
        <v>214</v>
      </c>
    </row>
    <row r="26" spans="1:9" ht="15">
      <c r="A26" s="813" t="s">
        <v>587</v>
      </c>
    </row>
    <row r="27" spans="1:9" ht="15">
      <c r="A27" s="270" t="s">
        <v>586</v>
      </c>
    </row>
    <row r="29" spans="1:9">
      <c r="A29" s="40" t="s">
        <v>170</v>
      </c>
    </row>
  </sheetData>
  <mergeCells count="9">
    <mergeCell ref="A10:C12"/>
    <mergeCell ref="I11:I12"/>
    <mergeCell ref="D11:D12"/>
    <mergeCell ref="E11:E12"/>
    <mergeCell ref="F11:F12"/>
    <mergeCell ref="G11:G12"/>
    <mergeCell ref="H11:H12"/>
    <mergeCell ref="D10:F10"/>
    <mergeCell ref="G10:I10"/>
  </mergeCells>
  <hyperlinks>
    <hyperlink ref="C2" location="Indice!A1" display="Cuadro 1.1 Gasto ambiental de Gobierno Local 1/por clasificación CAPA 2/y CGRN 3/"/>
  </hyperlinks>
  <pageMargins left="0.7" right="0.7" top="0.75" bottom="0.75" header="0.3" footer="0.3"/>
  <pageSetup scale="75" orientation="portrait" r:id="rId1"/>
</worksheet>
</file>

<file path=xl/worksheets/sheet8.xml><?xml version="1.0" encoding="utf-8"?>
<worksheet xmlns="http://schemas.openxmlformats.org/spreadsheetml/2006/main" xmlns:r="http://schemas.openxmlformats.org/officeDocument/2006/relationships">
  <sheetPr>
    <tabColor theme="3" tint="0.39997558519241921"/>
    <pageSetUpPr fitToPage="1"/>
  </sheetPr>
  <dimension ref="A1:V32"/>
  <sheetViews>
    <sheetView showGridLines="0" topLeftCell="A2" workbookViewId="0">
      <selection activeCell="A2" sqref="A2"/>
    </sheetView>
  </sheetViews>
  <sheetFormatPr baseColWidth="10" defaultRowHeight="12.75"/>
  <cols>
    <col min="1" max="2" width="1.1640625" style="44" customWidth="1"/>
    <col min="3" max="3" width="52.6640625" style="137" customWidth="1"/>
    <col min="4" max="4" width="8.5" style="44" customWidth="1"/>
    <col min="5" max="6" width="8" style="44" customWidth="1"/>
    <col min="7" max="7" width="8.6640625" style="44" customWidth="1"/>
    <col min="8" max="8" width="7.5" style="44" customWidth="1"/>
    <col min="9" max="9" width="7" style="44" customWidth="1"/>
    <col min="10" max="10" width="8.5" style="44" customWidth="1"/>
    <col min="11" max="11" width="8.33203125" style="44" customWidth="1"/>
    <col min="12" max="12" width="7.33203125" style="44" customWidth="1"/>
    <col min="13" max="13" width="8.33203125" style="44" customWidth="1"/>
    <col min="14" max="14" width="8.1640625" style="44" customWidth="1"/>
    <col min="15" max="15" width="7.83203125" style="44" customWidth="1"/>
    <col min="16" max="16" width="8.6640625" style="44" customWidth="1"/>
    <col min="17" max="17" width="7.5" style="44" customWidth="1"/>
    <col min="18" max="18" width="8" style="44" customWidth="1"/>
    <col min="19" max="19" width="8.6640625" style="44" customWidth="1"/>
    <col min="20" max="20" width="8.1640625" style="44" customWidth="1"/>
    <col min="21" max="21" width="7.5" style="44" customWidth="1"/>
    <col min="22" max="22" width="12.83203125" style="44" bestFit="1" customWidth="1"/>
    <col min="23" max="16384" width="12" style="44"/>
  </cols>
  <sheetData>
    <row r="1" spans="1:22" hidden="1">
      <c r="C1" s="46" t="s">
        <v>207</v>
      </c>
      <c r="D1" s="76"/>
    </row>
    <row r="2" spans="1:22">
      <c r="C2" s="21" t="s">
        <v>171</v>
      </c>
      <c r="D2" s="19"/>
      <c r="E2" s="18"/>
      <c r="F2" s="18"/>
      <c r="G2" s="19"/>
      <c r="H2" s="19"/>
      <c r="I2" s="19"/>
      <c r="J2" s="19"/>
      <c r="K2" s="19"/>
      <c r="L2" s="19"/>
      <c r="M2" s="19"/>
      <c r="N2" s="19"/>
      <c r="O2" s="18"/>
      <c r="P2" s="18"/>
      <c r="Q2" s="18"/>
      <c r="R2" s="18"/>
      <c r="S2" s="18"/>
      <c r="T2" s="18"/>
      <c r="U2" s="18"/>
    </row>
    <row r="3" spans="1:22">
      <c r="C3" s="21" t="s">
        <v>174</v>
      </c>
      <c r="D3" s="18"/>
      <c r="E3" s="18"/>
      <c r="F3" s="18"/>
      <c r="G3" s="18"/>
      <c r="H3" s="18"/>
      <c r="I3" s="18"/>
      <c r="J3" s="18"/>
      <c r="K3" s="18"/>
      <c r="L3" s="18"/>
      <c r="M3" s="18"/>
      <c r="N3" s="18"/>
      <c r="O3" s="18"/>
      <c r="P3" s="18"/>
      <c r="Q3" s="18"/>
      <c r="R3" s="18"/>
      <c r="S3" s="18"/>
      <c r="T3" s="18"/>
      <c r="U3" s="18"/>
    </row>
    <row r="4" spans="1:22">
      <c r="C4" s="238" t="s">
        <v>5</v>
      </c>
      <c r="D4" s="19"/>
      <c r="E4" s="18"/>
      <c r="F4" s="18"/>
      <c r="G4" s="18"/>
      <c r="H4" s="18"/>
      <c r="I4" s="18"/>
      <c r="J4" s="18"/>
      <c r="K4" s="19"/>
      <c r="L4" s="18"/>
      <c r="M4" s="18"/>
      <c r="N4" s="18"/>
      <c r="O4" s="18"/>
      <c r="P4" s="18"/>
      <c r="Q4" s="18"/>
      <c r="R4" s="18"/>
      <c r="S4" s="18"/>
      <c r="T4" s="18"/>
      <c r="U4" s="18"/>
    </row>
    <row r="5" spans="1:22">
      <c r="C5" s="238" t="s">
        <v>225</v>
      </c>
      <c r="D5" s="18"/>
      <c r="E5" s="18"/>
      <c r="F5" s="18"/>
      <c r="G5" s="18"/>
      <c r="H5" s="18"/>
      <c r="I5" s="18"/>
      <c r="J5" s="18"/>
      <c r="K5" s="18"/>
      <c r="L5" s="18"/>
      <c r="M5" s="18"/>
      <c r="N5" s="18"/>
      <c r="O5" s="18"/>
      <c r="P5" s="18"/>
      <c r="Q5" s="18"/>
      <c r="R5" s="18"/>
      <c r="S5" s="18"/>
      <c r="T5" s="18"/>
      <c r="U5" s="18"/>
      <c r="V5" s="25"/>
    </row>
    <row r="6" spans="1:22">
      <c r="C6" s="375" t="s">
        <v>29</v>
      </c>
      <c r="D6" s="18"/>
      <c r="E6" s="18"/>
      <c r="F6" s="18"/>
      <c r="G6" s="18"/>
      <c r="H6" s="18"/>
      <c r="I6" s="18"/>
      <c r="J6" s="18"/>
      <c r="K6" s="18"/>
      <c r="L6" s="18"/>
      <c r="M6" s="18"/>
      <c r="N6" s="18"/>
      <c r="O6" s="18"/>
      <c r="P6" s="18"/>
      <c r="Q6" s="18"/>
      <c r="R6" s="18"/>
      <c r="S6" s="18"/>
      <c r="T6" s="18"/>
      <c r="U6" s="18"/>
      <c r="V6" s="25"/>
    </row>
    <row r="7" spans="1:22" s="111" customFormat="1">
      <c r="D7" s="18"/>
      <c r="E7" s="18"/>
      <c r="F7" s="18"/>
      <c r="G7" s="18"/>
      <c r="H7" s="18"/>
      <c r="I7" s="18"/>
      <c r="J7" s="18"/>
      <c r="K7" s="18"/>
      <c r="L7" s="18"/>
      <c r="M7" s="18"/>
      <c r="N7" s="18"/>
      <c r="O7" s="18"/>
      <c r="P7" s="18"/>
      <c r="Q7" s="18"/>
      <c r="R7" s="18"/>
      <c r="S7" s="18"/>
      <c r="T7" s="18"/>
      <c r="U7" s="18"/>
      <c r="V7" s="239"/>
    </row>
    <row r="8" spans="1:22">
      <c r="A8" s="625" t="s">
        <v>153</v>
      </c>
      <c r="B8" s="625"/>
      <c r="C8" s="625"/>
      <c r="D8" s="620">
        <v>2001</v>
      </c>
      <c r="E8" s="621"/>
      <c r="F8" s="621"/>
      <c r="G8" s="622">
        <v>2002</v>
      </c>
      <c r="H8" s="621"/>
      <c r="I8" s="621"/>
      <c r="J8" s="620">
        <v>2003</v>
      </c>
      <c r="K8" s="621"/>
      <c r="L8" s="621"/>
      <c r="M8" s="622">
        <v>2004</v>
      </c>
      <c r="N8" s="621"/>
      <c r="O8" s="621"/>
      <c r="P8" s="620">
        <v>2005</v>
      </c>
      <c r="Q8" s="621"/>
      <c r="R8" s="621"/>
      <c r="S8" s="622">
        <v>2006</v>
      </c>
      <c r="T8" s="621"/>
      <c r="U8" s="621"/>
      <c r="V8" s="240"/>
    </row>
    <row r="9" spans="1:22" ht="13.5" customHeight="1">
      <c r="A9" s="626"/>
      <c r="B9" s="626"/>
      <c r="C9" s="626"/>
      <c r="D9" s="630" t="s">
        <v>205</v>
      </c>
      <c r="E9" s="630" t="s">
        <v>0</v>
      </c>
      <c r="F9" s="630" t="s">
        <v>559</v>
      </c>
      <c r="G9" s="628" t="s">
        <v>205</v>
      </c>
      <c r="H9" s="628" t="s">
        <v>0</v>
      </c>
      <c r="I9" s="628" t="s">
        <v>559</v>
      </c>
      <c r="J9" s="630" t="s">
        <v>205</v>
      </c>
      <c r="K9" s="630" t="s">
        <v>0</v>
      </c>
      <c r="L9" s="630" t="s">
        <v>559</v>
      </c>
      <c r="M9" s="628" t="s">
        <v>205</v>
      </c>
      <c r="N9" s="628" t="s">
        <v>0</v>
      </c>
      <c r="O9" s="628" t="s">
        <v>6</v>
      </c>
      <c r="P9" s="630" t="s">
        <v>205</v>
      </c>
      <c r="Q9" s="630" t="s">
        <v>0</v>
      </c>
      <c r="R9" s="630" t="s">
        <v>6</v>
      </c>
      <c r="S9" s="628" t="s">
        <v>205</v>
      </c>
      <c r="T9" s="628" t="s">
        <v>0</v>
      </c>
      <c r="U9" s="628" t="s">
        <v>6</v>
      </c>
      <c r="V9" s="240"/>
    </row>
    <row r="10" spans="1:22">
      <c r="A10" s="157" t="s">
        <v>211</v>
      </c>
      <c r="B10" s="157"/>
      <c r="C10" s="202"/>
      <c r="D10" s="241"/>
      <c r="E10" s="241"/>
      <c r="F10" s="241"/>
      <c r="G10" s="241"/>
      <c r="H10" s="241"/>
      <c r="I10" s="241"/>
      <c r="J10" s="241"/>
      <c r="K10" s="241"/>
      <c r="L10" s="241"/>
      <c r="M10" s="241"/>
      <c r="N10" s="241"/>
      <c r="O10" s="241"/>
      <c r="P10" s="241"/>
      <c r="Q10" s="241"/>
      <c r="R10" s="241"/>
      <c r="S10" s="241"/>
      <c r="T10" s="241"/>
      <c r="U10" s="241"/>
      <c r="V10" s="240"/>
    </row>
    <row r="11" spans="1:22" ht="15.75" customHeight="1">
      <c r="C11" s="156" t="s">
        <v>7</v>
      </c>
      <c r="D11" s="201">
        <v>1.03725</v>
      </c>
      <c r="E11" s="201">
        <v>8.1555</v>
      </c>
      <c r="F11" s="201">
        <v>9.1927500000000002</v>
      </c>
      <c r="G11" s="201">
        <v>2.272926</v>
      </c>
      <c r="H11" s="201">
        <v>6.082497</v>
      </c>
      <c r="I11" s="201">
        <v>8.355423</v>
      </c>
      <c r="J11" s="201">
        <v>1.2387589999999999</v>
      </c>
      <c r="K11" s="201"/>
      <c r="L11" s="201">
        <v>1.2387589999999999</v>
      </c>
      <c r="M11" s="201">
        <v>3.5703699999999998E-2</v>
      </c>
      <c r="N11" s="201">
        <v>9.4750000000000001E-2</v>
      </c>
      <c r="O11" s="201">
        <v>0.13045370000000001</v>
      </c>
      <c r="P11" s="201">
        <v>0.21708537</v>
      </c>
      <c r="Q11" s="201">
        <v>4.5432252100000001</v>
      </c>
      <c r="R11" s="201">
        <v>4.7603105800000005</v>
      </c>
      <c r="S11" s="201">
        <v>0.69438738</v>
      </c>
      <c r="T11" s="201">
        <v>1.1608887299999999</v>
      </c>
      <c r="U11" s="201">
        <v>1.8552761100000001</v>
      </c>
      <c r="V11" s="240"/>
    </row>
    <row r="12" spans="1:22" ht="25.5">
      <c r="C12" s="156" t="s">
        <v>8</v>
      </c>
      <c r="D12" s="861" t="s">
        <v>654</v>
      </c>
      <c r="E12" s="861" t="s">
        <v>654</v>
      </c>
      <c r="F12" s="861" t="s">
        <v>654</v>
      </c>
      <c r="G12" s="201">
        <v>2.0274999999999999</v>
      </c>
      <c r="H12" s="861" t="s">
        <v>654</v>
      </c>
      <c r="I12" s="201">
        <v>2.0274999999999999</v>
      </c>
      <c r="J12" s="861" t="s">
        <v>654</v>
      </c>
      <c r="K12" s="861" t="s">
        <v>654</v>
      </c>
      <c r="L12" s="861" t="s">
        <v>654</v>
      </c>
      <c r="M12" s="861" t="s">
        <v>654</v>
      </c>
      <c r="N12" s="861" t="s">
        <v>654</v>
      </c>
      <c r="O12" s="861" t="s">
        <v>654</v>
      </c>
      <c r="P12" s="861" t="s">
        <v>654</v>
      </c>
      <c r="Q12" s="861" t="s">
        <v>654</v>
      </c>
      <c r="R12" s="861" t="s">
        <v>654</v>
      </c>
      <c r="S12" s="861" t="s">
        <v>654</v>
      </c>
      <c r="T12" s="861" t="s">
        <v>654</v>
      </c>
      <c r="U12" s="861" t="s">
        <v>654</v>
      </c>
      <c r="V12" s="240"/>
    </row>
    <row r="13" spans="1:22">
      <c r="C13" s="156" t="s">
        <v>9</v>
      </c>
      <c r="D13" s="201">
        <v>113.78542546</v>
      </c>
      <c r="E13" s="201">
        <v>38.236674389999997</v>
      </c>
      <c r="F13" s="201">
        <v>152.02209984999999</v>
      </c>
      <c r="G13" s="201">
        <v>94.708229180000004</v>
      </c>
      <c r="H13" s="201">
        <v>92.477190440000001</v>
      </c>
      <c r="I13" s="201">
        <v>187.18541962</v>
      </c>
      <c r="J13" s="201">
        <v>70.732248003450607</v>
      </c>
      <c r="K13" s="201">
        <v>67.112190150000004</v>
      </c>
      <c r="L13" s="201">
        <v>137.84443815345099</v>
      </c>
      <c r="M13" s="201">
        <v>73.462996410000002</v>
      </c>
      <c r="N13" s="201">
        <v>51.333533729999999</v>
      </c>
      <c r="O13" s="201">
        <v>124.79653014</v>
      </c>
      <c r="P13" s="201">
        <v>64.706202570000002</v>
      </c>
      <c r="Q13" s="201">
        <v>75.395194260000011</v>
      </c>
      <c r="R13" s="201">
        <v>140.10139683000003</v>
      </c>
      <c r="S13" s="201">
        <v>69.893411909999998</v>
      </c>
      <c r="T13" s="201">
        <v>101.19929721</v>
      </c>
      <c r="U13" s="201">
        <v>171.09270911999999</v>
      </c>
      <c r="V13" s="240"/>
    </row>
    <row r="14" spans="1:22" s="2" customFormat="1">
      <c r="C14" s="156" t="s">
        <v>10</v>
      </c>
      <c r="D14" s="201">
        <v>8.5537790000000005</v>
      </c>
      <c r="E14" s="201"/>
      <c r="F14" s="201">
        <v>8.5537790000000005</v>
      </c>
      <c r="G14" s="201">
        <v>8.7058959999999992</v>
      </c>
      <c r="H14" s="201"/>
      <c r="I14" s="201">
        <v>8.7058959999999992</v>
      </c>
      <c r="J14" s="201">
        <v>8.8657590000000006</v>
      </c>
      <c r="K14" s="201"/>
      <c r="L14" s="201">
        <v>8.8657590000000006</v>
      </c>
      <c r="M14" s="201">
        <v>6.8189362899999999</v>
      </c>
      <c r="N14" s="201">
        <v>0.13316544</v>
      </c>
      <c r="O14" s="201">
        <v>6.9521017300000008</v>
      </c>
      <c r="P14" s="201">
        <v>7.2295737799999999</v>
      </c>
      <c r="Q14" s="201">
        <v>0.15289884000000001</v>
      </c>
      <c r="R14" s="201">
        <v>7.3824726199999997</v>
      </c>
      <c r="S14" s="201">
        <v>10.180163650000001</v>
      </c>
      <c r="T14" s="201">
        <v>6.9887429999999987E-2</v>
      </c>
      <c r="U14" s="201">
        <v>10.25005108</v>
      </c>
      <c r="V14" s="206"/>
    </row>
    <row r="15" spans="1:22">
      <c r="C15" s="156" t="s">
        <v>11</v>
      </c>
      <c r="D15" s="201">
        <v>54.641855999999997</v>
      </c>
      <c r="E15" s="201">
        <v>34.930453999999997</v>
      </c>
      <c r="F15" s="201">
        <v>89.572310000000002</v>
      </c>
      <c r="G15" s="201">
        <v>56.370646000000001</v>
      </c>
      <c r="H15" s="201">
        <v>9.3646279999999997</v>
      </c>
      <c r="I15" s="201">
        <v>65.735274000000004</v>
      </c>
      <c r="J15" s="201">
        <v>41.566628000000001</v>
      </c>
      <c r="K15" s="201">
        <v>3.9960830000000001</v>
      </c>
      <c r="L15" s="201">
        <v>45.562711</v>
      </c>
      <c r="M15" s="201">
        <v>37.809252039999997</v>
      </c>
      <c r="N15" s="201">
        <v>15.53260128</v>
      </c>
      <c r="O15" s="201">
        <v>53.341853319999998</v>
      </c>
      <c r="P15" s="201">
        <v>45.0942165188806</v>
      </c>
      <c r="Q15" s="201">
        <v>43.431423150000001</v>
      </c>
      <c r="R15" s="201">
        <v>88.525639668880601</v>
      </c>
      <c r="S15" s="201">
        <v>40.91423288</v>
      </c>
      <c r="T15" s="201">
        <v>27.600506550000002</v>
      </c>
      <c r="U15" s="201">
        <v>68.514739430000006</v>
      </c>
      <c r="V15" s="240"/>
    </row>
    <row r="16" spans="1:22" s="635" customFormat="1">
      <c r="A16" s="631" t="s">
        <v>27</v>
      </c>
      <c r="B16" s="631"/>
      <c r="C16" s="632"/>
      <c r="D16" s="633">
        <v>178.01831046000001</v>
      </c>
      <c r="E16" s="633">
        <v>81.322628390000006</v>
      </c>
      <c r="F16" s="633">
        <v>259.34093884999999</v>
      </c>
      <c r="G16" s="633">
        <v>164.08519717999999</v>
      </c>
      <c r="H16" s="633">
        <v>107.92431544</v>
      </c>
      <c r="I16" s="633">
        <v>272.00951262000001</v>
      </c>
      <c r="J16" s="633">
        <v>122.403394003451</v>
      </c>
      <c r="K16" s="633">
        <v>71.108273150000002</v>
      </c>
      <c r="L16" s="633">
        <v>193.51166715345099</v>
      </c>
      <c r="M16" s="633">
        <v>118.12688844</v>
      </c>
      <c r="N16" s="633">
        <v>67.094050449999997</v>
      </c>
      <c r="O16" s="633">
        <v>185.22093888999999</v>
      </c>
      <c r="P16" s="633">
        <v>117.247078238881</v>
      </c>
      <c r="Q16" s="633">
        <v>123.52274145999999</v>
      </c>
      <c r="R16" s="633">
        <v>240.76981969888101</v>
      </c>
      <c r="S16" s="633">
        <v>121.68219581999999</v>
      </c>
      <c r="T16" s="633">
        <v>130.03057992000001</v>
      </c>
      <c r="U16" s="633">
        <v>251.71277574000001</v>
      </c>
      <c r="V16" s="634"/>
    </row>
    <row r="17" spans="1:22">
      <c r="A17" s="157" t="s">
        <v>212</v>
      </c>
      <c r="B17" s="157"/>
      <c r="C17" s="202"/>
      <c r="D17" s="200"/>
      <c r="E17" s="201"/>
      <c r="F17" s="201"/>
      <c r="G17" s="201"/>
      <c r="H17" s="201"/>
      <c r="I17" s="201"/>
      <c r="J17" s="201"/>
      <c r="K17" s="201"/>
      <c r="L17" s="201"/>
      <c r="M17" s="201"/>
      <c r="N17" s="201"/>
      <c r="O17" s="201"/>
      <c r="P17" s="201"/>
      <c r="Q17" s="201"/>
      <c r="R17" s="201"/>
      <c r="S17" s="201"/>
      <c r="T17" s="201"/>
      <c r="U17" s="201"/>
      <c r="V17" s="240"/>
    </row>
    <row r="18" spans="1:22">
      <c r="C18" s="156" t="s">
        <v>12</v>
      </c>
      <c r="D18" s="201">
        <v>17.015391000000001</v>
      </c>
      <c r="E18" s="861" t="s">
        <v>654</v>
      </c>
      <c r="F18" s="201">
        <v>17.015391000000001</v>
      </c>
      <c r="G18" s="201">
        <v>16.766389</v>
      </c>
      <c r="H18" s="861" t="s">
        <v>654</v>
      </c>
      <c r="I18" s="201">
        <v>16.766389</v>
      </c>
      <c r="J18" s="201">
        <v>13.155619</v>
      </c>
      <c r="K18" s="861" t="s">
        <v>654</v>
      </c>
      <c r="L18" s="201">
        <v>13.155619</v>
      </c>
      <c r="M18" s="201">
        <v>3.4079901100000001</v>
      </c>
      <c r="N18" s="861" t="s">
        <v>654</v>
      </c>
      <c r="O18" s="201">
        <v>3.4079901100000001</v>
      </c>
      <c r="P18" s="201">
        <v>2.8811290000000001</v>
      </c>
      <c r="Q18" s="201">
        <v>6.0631999999999998E-2</v>
      </c>
      <c r="R18" s="201">
        <v>2.9417610000000001</v>
      </c>
      <c r="S18" s="201">
        <v>1.7411146200000001</v>
      </c>
      <c r="T18" s="201">
        <v>4.3999999999999997E-2</v>
      </c>
      <c r="U18" s="201">
        <v>1.7851146200000001</v>
      </c>
      <c r="V18" s="240"/>
    </row>
    <row r="19" spans="1:22">
      <c r="C19" s="156" t="s">
        <v>13</v>
      </c>
      <c r="D19" s="201">
        <v>8.2819500000000001</v>
      </c>
      <c r="E19" s="201">
        <v>264.50952999999998</v>
      </c>
      <c r="F19" s="201">
        <v>272.79147999999998</v>
      </c>
      <c r="G19" s="201">
        <v>7.0296750000000001</v>
      </c>
      <c r="H19" s="201">
        <v>202.19082700000001</v>
      </c>
      <c r="I19" s="201">
        <v>209.22050200000001</v>
      </c>
      <c r="J19" s="201">
        <v>38.824652999999998</v>
      </c>
      <c r="K19" s="201">
        <v>68.692732000000007</v>
      </c>
      <c r="L19" s="201">
        <v>107.517385</v>
      </c>
      <c r="M19" s="201">
        <v>7.0464640699999999</v>
      </c>
      <c r="N19" s="201">
        <v>56.503693979999994</v>
      </c>
      <c r="O19" s="201">
        <v>63.55015805</v>
      </c>
      <c r="P19" s="201">
        <v>8.7100504399999998</v>
      </c>
      <c r="Q19" s="201">
        <v>71.819197299999999</v>
      </c>
      <c r="R19" s="201">
        <v>80.529247739999988</v>
      </c>
      <c r="S19" s="201">
        <v>9.3770307300000013</v>
      </c>
      <c r="T19" s="201">
        <v>24.82907032</v>
      </c>
      <c r="U19" s="201">
        <v>34.206101049999994</v>
      </c>
      <c r="V19" s="240"/>
    </row>
    <row r="20" spans="1:22" s="2" customFormat="1">
      <c r="C20" s="156" t="s">
        <v>14</v>
      </c>
      <c r="D20" s="201">
        <v>13.60535425</v>
      </c>
      <c r="E20" s="201">
        <v>43.289425789999996</v>
      </c>
      <c r="F20" s="201">
        <v>56.894780040000001</v>
      </c>
      <c r="G20" s="201">
        <v>32.790430999999998</v>
      </c>
      <c r="H20" s="201">
        <v>137.70533172</v>
      </c>
      <c r="I20" s="201">
        <v>170.49576271999999</v>
      </c>
      <c r="J20" s="201">
        <v>22.759197309950402</v>
      </c>
      <c r="K20" s="201">
        <v>124.074100582873</v>
      </c>
      <c r="L20" s="201">
        <v>146.833297892823</v>
      </c>
      <c r="M20" s="201">
        <v>43.236419670000004</v>
      </c>
      <c r="N20" s="201">
        <v>110.62707868000001</v>
      </c>
      <c r="O20" s="201">
        <v>153.86349834999999</v>
      </c>
      <c r="P20" s="201">
        <v>23.042485719999998</v>
      </c>
      <c r="Q20" s="201">
        <v>132.45488741</v>
      </c>
      <c r="R20" s="201">
        <v>155.49737313</v>
      </c>
      <c r="S20" s="201">
        <v>29.099553</v>
      </c>
      <c r="T20" s="201">
        <v>150.36602340000002</v>
      </c>
      <c r="U20" s="201">
        <v>179.4655764</v>
      </c>
      <c r="V20" s="206"/>
    </row>
    <row r="21" spans="1:22">
      <c r="C21" s="156" t="s">
        <v>15</v>
      </c>
      <c r="D21" s="201">
        <v>7.0220219999999998</v>
      </c>
      <c r="E21" s="861" t="s">
        <v>654</v>
      </c>
      <c r="F21" s="201">
        <v>7.0220219999999998</v>
      </c>
      <c r="G21" s="861" t="s">
        <v>654</v>
      </c>
      <c r="H21" s="861" t="s">
        <v>654</v>
      </c>
      <c r="I21" s="861" t="s">
        <v>654</v>
      </c>
      <c r="J21" s="201">
        <v>6</v>
      </c>
      <c r="K21" s="861" t="s">
        <v>654</v>
      </c>
      <c r="L21" s="201">
        <v>6</v>
      </c>
      <c r="M21" s="201">
        <v>2.8138369999999999</v>
      </c>
      <c r="N21" s="861" t="s">
        <v>654</v>
      </c>
      <c r="O21" s="201">
        <v>2.8138369999999999</v>
      </c>
      <c r="P21" s="201">
        <v>2.64703102</v>
      </c>
      <c r="Q21" s="861" t="s">
        <v>654</v>
      </c>
      <c r="R21" s="201">
        <v>2.64703102</v>
      </c>
      <c r="S21" s="201">
        <v>4.0310125399999999</v>
      </c>
      <c r="T21" s="861" t="s">
        <v>654</v>
      </c>
      <c r="U21" s="201">
        <v>4.0310125399999999</v>
      </c>
      <c r="V21" s="205"/>
    </row>
    <row r="22" spans="1:22" s="635" customFormat="1">
      <c r="A22" s="631" t="s">
        <v>557</v>
      </c>
      <c r="B22" s="631"/>
      <c r="C22" s="632"/>
      <c r="D22" s="633">
        <v>45.92471725</v>
      </c>
      <c r="E22" s="633">
        <v>307.79895579000004</v>
      </c>
      <c r="F22" s="633">
        <v>353.72367303999999</v>
      </c>
      <c r="G22" s="633">
        <v>56.586494999999999</v>
      </c>
      <c r="H22" s="633">
        <v>339.89615872000002</v>
      </c>
      <c r="I22" s="633">
        <v>396.48265372000003</v>
      </c>
      <c r="J22" s="633">
        <v>80.739469309950394</v>
      </c>
      <c r="K22" s="633">
        <v>192.76683258287298</v>
      </c>
      <c r="L22" s="633">
        <v>273.50630189282299</v>
      </c>
      <c r="M22" s="633">
        <v>56.504710850000002</v>
      </c>
      <c r="N22" s="633">
        <v>167.13077265999999</v>
      </c>
      <c r="O22" s="633">
        <v>223.63548351</v>
      </c>
      <c r="P22" s="633">
        <v>37.28069618</v>
      </c>
      <c r="Q22" s="633">
        <v>204.33471671000001</v>
      </c>
      <c r="R22" s="633">
        <v>241.61541288999999</v>
      </c>
      <c r="S22" s="633">
        <v>44.248710889999998</v>
      </c>
      <c r="T22" s="633">
        <v>175.23909372</v>
      </c>
      <c r="U22" s="633">
        <v>219.48780461000001</v>
      </c>
      <c r="V22" s="634"/>
    </row>
    <row r="23" spans="1:22">
      <c r="A23" s="160" t="s">
        <v>568</v>
      </c>
      <c r="B23" s="160"/>
      <c r="C23" s="203"/>
      <c r="D23" s="204">
        <v>223.94302771000002</v>
      </c>
      <c r="E23" s="204">
        <v>389.12158418000001</v>
      </c>
      <c r="F23" s="204">
        <v>613.06461188999992</v>
      </c>
      <c r="G23" s="204">
        <v>220.67169217999998</v>
      </c>
      <c r="H23" s="204">
        <v>447.82047416</v>
      </c>
      <c r="I23" s="204">
        <v>668.49216634000004</v>
      </c>
      <c r="J23" s="204">
        <v>203.14286331340139</v>
      </c>
      <c r="K23" s="204">
        <v>263.87510573287295</v>
      </c>
      <c r="L23" s="204">
        <v>467.01796904627395</v>
      </c>
      <c r="M23" s="204">
        <v>174.63159929</v>
      </c>
      <c r="N23" s="204">
        <v>234.22482310999999</v>
      </c>
      <c r="O23" s="204">
        <v>408.85642239999999</v>
      </c>
      <c r="P23" s="204">
        <v>154.52777441888099</v>
      </c>
      <c r="Q23" s="204">
        <v>327.85745816999997</v>
      </c>
      <c r="R23" s="204">
        <v>482.38523258888097</v>
      </c>
      <c r="S23" s="204">
        <v>165.93090670999999</v>
      </c>
      <c r="T23" s="204">
        <v>305.26967364000001</v>
      </c>
      <c r="U23" s="204">
        <v>471.20058035</v>
      </c>
    </row>
    <row r="24" spans="1:22">
      <c r="A24" s="270" t="s">
        <v>210</v>
      </c>
      <c r="D24" s="205"/>
      <c r="E24" s="205"/>
      <c r="F24" s="205"/>
      <c r="G24" s="205"/>
      <c r="H24" s="205"/>
      <c r="I24" s="205"/>
      <c r="J24" s="205"/>
      <c r="K24" s="205"/>
      <c r="L24" s="205"/>
      <c r="M24" s="205"/>
      <c r="N24" s="205"/>
      <c r="O24" s="205"/>
      <c r="P24" s="205"/>
      <c r="Q24" s="205"/>
      <c r="R24" s="205"/>
      <c r="S24" s="205"/>
      <c r="T24" s="205"/>
      <c r="U24" s="205"/>
    </row>
    <row r="25" spans="1:22">
      <c r="A25" s="270" t="s">
        <v>214</v>
      </c>
    </row>
    <row r="27" spans="1:22">
      <c r="A27" s="40" t="s">
        <v>170</v>
      </c>
      <c r="E27" s="179"/>
    </row>
    <row r="31" spans="1:22">
      <c r="D31" s="249"/>
    </row>
    <row r="32" spans="1:22">
      <c r="C32" s="862" t="s">
        <v>656</v>
      </c>
    </row>
  </sheetData>
  <mergeCells count="7">
    <mergeCell ref="P8:R8"/>
    <mergeCell ref="S8:U8"/>
    <mergeCell ref="A8:C9"/>
    <mergeCell ref="D8:F8"/>
    <mergeCell ref="G8:I8"/>
    <mergeCell ref="J8:L8"/>
    <mergeCell ref="M8:O8"/>
  </mergeCells>
  <hyperlinks>
    <hyperlink ref="C1" location="Indice!C1" display="Cuadro 5. Gasto ambiental de la administración central del Gobierno de Guatemala por clasificaciones CAPA y CGRN, millones de quetzales, sin agua y saneamiento"/>
  </hyperlinks>
  <pageMargins left="0.7" right="0.7" top="0.75" bottom="0.75" header="0.3" footer="0.3"/>
  <pageSetup scale="56" orientation="portrait" r:id="rId1"/>
</worksheet>
</file>

<file path=xl/worksheets/sheet9.xml><?xml version="1.0" encoding="utf-8"?>
<worksheet xmlns="http://schemas.openxmlformats.org/spreadsheetml/2006/main" xmlns:r="http://schemas.openxmlformats.org/officeDocument/2006/relationships">
  <sheetPr>
    <tabColor theme="3" tint="0.39997558519241921"/>
    <pageSetUpPr fitToPage="1"/>
  </sheetPr>
  <dimension ref="A1:X31"/>
  <sheetViews>
    <sheetView showGridLines="0" workbookViewId="0"/>
  </sheetViews>
  <sheetFormatPr baseColWidth="10" defaultRowHeight="12.75"/>
  <cols>
    <col min="1" max="1" width="1.6640625" customWidth="1"/>
    <col min="2" max="2" width="0.83203125" customWidth="1"/>
    <col min="3" max="3" width="53" customWidth="1"/>
    <col min="4" max="4" width="9.6640625" customWidth="1"/>
    <col min="5" max="5" width="8.5" customWidth="1"/>
    <col min="6" max="6" width="7.33203125" customWidth="1"/>
    <col min="7" max="7" width="9.33203125" customWidth="1"/>
    <col min="8" max="8" width="7.5" customWidth="1"/>
    <col min="9" max="9" width="7" customWidth="1"/>
    <col min="10" max="10" width="9.33203125" customWidth="1"/>
    <col min="11" max="12" width="7.5" customWidth="1"/>
    <col min="13" max="13" width="9.5" customWidth="1"/>
    <col min="14" max="14" width="8.1640625" customWidth="1"/>
    <col min="15" max="15" width="8.5" customWidth="1"/>
    <col min="16" max="16" width="9.33203125" customWidth="1"/>
    <col min="17" max="18" width="8.6640625" customWidth="1"/>
    <col min="19" max="19" width="9" customWidth="1"/>
    <col min="20" max="20" width="7" customWidth="1"/>
    <col min="21" max="21" width="7.6640625" customWidth="1"/>
  </cols>
  <sheetData>
    <row r="1" spans="1:24" s="44" customFormat="1">
      <c r="C1" s="21" t="s">
        <v>172</v>
      </c>
      <c r="D1" s="18"/>
      <c r="E1" s="18"/>
      <c r="F1" s="18"/>
      <c r="G1" s="18"/>
      <c r="H1" s="18"/>
      <c r="I1" s="18"/>
      <c r="J1" s="18"/>
      <c r="K1" s="18"/>
      <c r="L1" s="18"/>
      <c r="M1" s="18"/>
      <c r="N1" s="18"/>
      <c r="O1" s="18"/>
      <c r="P1" s="18"/>
      <c r="Q1" s="18"/>
      <c r="R1" s="18"/>
      <c r="S1" s="18"/>
      <c r="T1" s="18"/>
      <c r="U1" s="18"/>
    </row>
    <row r="2" spans="1:24" s="44" customFormat="1">
      <c r="C2" s="21" t="s">
        <v>174</v>
      </c>
      <c r="D2" s="18"/>
      <c r="E2" s="18"/>
      <c r="F2" s="18"/>
      <c r="G2" s="18"/>
      <c r="H2" s="18"/>
      <c r="I2" s="18"/>
      <c r="J2" s="18"/>
      <c r="K2" s="18"/>
      <c r="L2" s="18"/>
      <c r="M2" s="18"/>
      <c r="N2" s="18"/>
      <c r="O2" s="18"/>
      <c r="P2" s="18"/>
      <c r="Q2" s="18"/>
      <c r="R2" s="18"/>
      <c r="S2" s="18"/>
      <c r="T2" s="18"/>
      <c r="U2" s="18"/>
    </row>
    <row r="3" spans="1:24" s="44" customFormat="1">
      <c r="C3" s="113" t="s">
        <v>5</v>
      </c>
      <c r="D3" s="18"/>
      <c r="E3" s="18"/>
      <c r="F3" s="18"/>
      <c r="G3" s="18"/>
      <c r="H3" s="18"/>
      <c r="I3" s="18"/>
      <c r="J3" s="18"/>
      <c r="K3" s="18"/>
      <c r="L3" s="18"/>
      <c r="M3" s="18"/>
      <c r="N3" s="18"/>
      <c r="O3" s="18"/>
      <c r="P3" s="18"/>
      <c r="Q3" s="18"/>
      <c r="R3" s="18"/>
      <c r="S3" s="18"/>
      <c r="T3" s="18"/>
      <c r="U3" s="18"/>
    </row>
    <row r="4" spans="1:24" s="44" customFormat="1">
      <c r="C4" s="113" t="s">
        <v>225</v>
      </c>
      <c r="D4" s="18"/>
      <c r="E4" s="18"/>
      <c r="F4" s="18"/>
      <c r="G4" s="18"/>
      <c r="H4" s="18"/>
      <c r="I4" s="18"/>
      <c r="J4" s="18"/>
      <c r="K4" s="18"/>
      <c r="L4" s="18"/>
      <c r="M4" s="18"/>
      <c r="N4" s="18"/>
      <c r="O4" s="18"/>
      <c r="P4" s="18"/>
      <c r="Q4" s="18"/>
      <c r="R4" s="18"/>
      <c r="S4" s="18"/>
      <c r="T4" s="18"/>
      <c r="U4" s="18"/>
    </row>
    <row r="5" spans="1:24" s="44" customFormat="1">
      <c r="C5" s="242" t="s">
        <v>28</v>
      </c>
      <c r="D5" s="18"/>
      <c r="E5" s="18"/>
      <c r="F5" s="18"/>
      <c r="G5" s="18"/>
      <c r="H5" s="18"/>
      <c r="I5" s="18"/>
      <c r="J5" s="18"/>
      <c r="K5" s="18"/>
      <c r="L5" s="18"/>
      <c r="M5" s="18"/>
      <c r="N5" s="18"/>
      <c r="O5" s="18"/>
      <c r="P5" s="18"/>
      <c r="Q5" s="18"/>
      <c r="R5" s="18"/>
      <c r="S5" s="18"/>
      <c r="T5" s="18"/>
      <c r="U5" s="18"/>
    </row>
    <row r="6" spans="1:24" s="44" customFormat="1">
      <c r="D6" s="18"/>
      <c r="E6" s="18"/>
      <c r="F6" s="18"/>
      <c r="G6" s="18"/>
      <c r="H6" s="18"/>
      <c r="I6" s="18"/>
      <c r="J6" s="18"/>
      <c r="K6" s="18"/>
      <c r="L6" s="18"/>
      <c r="M6" s="18"/>
      <c r="N6" s="18"/>
      <c r="O6" s="18"/>
      <c r="P6" s="18"/>
      <c r="Q6" s="18"/>
      <c r="R6" s="18"/>
      <c r="S6" s="18"/>
      <c r="T6" s="18"/>
      <c r="U6" s="18"/>
    </row>
    <row r="7" spans="1:24" s="44" customFormat="1">
      <c r="A7" s="600" t="s">
        <v>153</v>
      </c>
      <c r="B7" s="600"/>
      <c r="C7" s="600"/>
      <c r="D7" s="661"/>
      <c r="E7" s="612">
        <v>2001</v>
      </c>
      <c r="F7" s="612"/>
      <c r="G7" s="614"/>
      <c r="H7" s="613">
        <v>2002</v>
      </c>
      <c r="I7" s="614"/>
      <c r="J7" s="663"/>
      <c r="K7" s="612">
        <v>2003</v>
      </c>
      <c r="L7" s="663"/>
      <c r="M7" s="614"/>
      <c r="N7" s="613">
        <v>2004</v>
      </c>
      <c r="O7" s="613"/>
      <c r="P7" s="663"/>
      <c r="Q7" s="612">
        <v>2005</v>
      </c>
      <c r="R7" s="612"/>
      <c r="S7" s="614"/>
      <c r="T7" s="613">
        <v>2006</v>
      </c>
      <c r="U7" s="660"/>
    </row>
    <row r="8" spans="1:24" s="44" customFormat="1">
      <c r="A8" s="602"/>
      <c r="B8" s="602"/>
      <c r="C8" s="602"/>
      <c r="D8" s="662" t="s">
        <v>205</v>
      </c>
      <c r="E8" s="662" t="s">
        <v>0</v>
      </c>
      <c r="F8" s="662" t="s">
        <v>559</v>
      </c>
      <c r="G8" s="659" t="s">
        <v>205</v>
      </c>
      <c r="H8" s="659" t="s">
        <v>0</v>
      </c>
      <c r="I8" s="659" t="s">
        <v>559</v>
      </c>
      <c r="J8" s="662" t="s">
        <v>205</v>
      </c>
      <c r="K8" s="662" t="s">
        <v>0</v>
      </c>
      <c r="L8" s="662" t="s">
        <v>559</v>
      </c>
      <c r="M8" s="659" t="s">
        <v>205</v>
      </c>
      <c r="N8" s="659" t="s">
        <v>0</v>
      </c>
      <c r="O8" s="659" t="s">
        <v>559</v>
      </c>
      <c r="P8" s="662" t="s">
        <v>205</v>
      </c>
      <c r="Q8" s="662" t="s">
        <v>0</v>
      </c>
      <c r="R8" s="662" t="s">
        <v>559</v>
      </c>
      <c r="S8" s="659" t="s">
        <v>205</v>
      </c>
      <c r="T8" s="659" t="s">
        <v>0</v>
      </c>
      <c r="U8" s="659" t="s">
        <v>559</v>
      </c>
    </row>
    <row r="9" spans="1:24" s="44" customFormat="1">
      <c r="A9" s="157" t="s">
        <v>211</v>
      </c>
      <c r="B9" s="157"/>
      <c r="C9" s="202"/>
      <c r="D9" s="153"/>
      <c r="E9" s="153"/>
      <c r="F9" s="153"/>
      <c r="G9" s="153"/>
      <c r="H9" s="153"/>
      <c r="I9" s="153"/>
      <c r="J9" s="153"/>
      <c r="K9" s="153"/>
      <c r="L9" s="153"/>
      <c r="M9" s="153"/>
      <c r="N9" s="153"/>
      <c r="O9" s="153"/>
      <c r="P9" s="153"/>
      <c r="Q9" s="153"/>
      <c r="R9" s="153"/>
      <c r="S9" s="153"/>
      <c r="T9" s="153"/>
      <c r="U9" s="153"/>
    </row>
    <row r="10" spans="1:24" s="44" customFormat="1">
      <c r="C10" s="814" t="s">
        <v>164</v>
      </c>
      <c r="D10" s="859" t="s">
        <v>654</v>
      </c>
      <c r="E10" s="243">
        <f>2850000/1000000</f>
        <v>2.85</v>
      </c>
      <c r="F10" s="243">
        <f>2850000/1000000</f>
        <v>2.85</v>
      </c>
      <c r="G10" s="243">
        <f>5277697/1000000</f>
        <v>5.2776969999999999</v>
      </c>
      <c r="H10" s="859" t="s">
        <v>654</v>
      </c>
      <c r="I10" s="244">
        <f>5277697/1000000</f>
        <v>5.2776969999999999</v>
      </c>
      <c r="J10" s="859" t="s">
        <v>654</v>
      </c>
      <c r="K10" s="859" t="s">
        <v>654</v>
      </c>
      <c r="L10" s="859" t="s">
        <v>654</v>
      </c>
      <c r="M10" s="859" t="s">
        <v>654</v>
      </c>
      <c r="N10" s="244">
        <f>1864435.43/1000000</f>
        <v>1.8644354299999999</v>
      </c>
      <c r="O10" s="244">
        <f>1864435.43/1000000</f>
        <v>1.8644354299999999</v>
      </c>
      <c r="P10" s="859" t="s">
        <v>654</v>
      </c>
      <c r="Q10" s="244">
        <f>11701747.33/1000000</f>
        <v>11.70174733</v>
      </c>
      <c r="R10" s="244">
        <f>11701747.33/1000000</f>
        <v>11.70174733</v>
      </c>
      <c r="S10" s="859" t="s">
        <v>654</v>
      </c>
      <c r="T10" s="244">
        <f>5403241.55/1000000</f>
        <v>5.4032415499999997</v>
      </c>
      <c r="U10" s="244">
        <f>5403241.55/1000000</f>
        <v>5.4032415499999997</v>
      </c>
      <c r="V10" s="245"/>
    </row>
    <row r="11" spans="1:24" s="44" customFormat="1">
      <c r="C11" s="814" t="s">
        <v>161</v>
      </c>
      <c r="D11" s="243">
        <f>1037250/1000000</f>
        <v>1.03725</v>
      </c>
      <c r="E11" s="243">
        <f>8155500/1000000</f>
        <v>8.1555</v>
      </c>
      <c r="F11" s="243">
        <f>9192750/1000000</f>
        <v>9.1927500000000002</v>
      </c>
      <c r="G11" s="243">
        <f>2272926/1000000</f>
        <v>2.272926</v>
      </c>
      <c r="H11" s="243">
        <f>6082497/1000000</f>
        <v>6.082497</v>
      </c>
      <c r="I11" s="244">
        <f>8355423/1000000</f>
        <v>8.355423</v>
      </c>
      <c r="J11" s="244">
        <f>1238759/1000000</f>
        <v>1.2387589999999999</v>
      </c>
      <c r="K11" s="244">
        <f>7840000/1000000</f>
        <v>7.84</v>
      </c>
      <c r="L11" s="244">
        <f>9078759/1000000</f>
        <v>9.0787589999999998</v>
      </c>
      <c r="M11" s="244">
        <f>35703.7/1000000</f>
        <v>3.5703699999999998E-2</v>
      </c>
      <c r="N11" s="244">
        <f>94750/1000000</f>
        <v>9.4750000000000001E-2</v>
      </c>
      <c r="O11" s="244">
        <f>130453.7/1000000</f>
        <v>0.13045370000000001</v>
      </c>
      <c r="P11" s="244">
        <f>217085.37/1000000</f>
        <v>0.21708537</v>
      </c>
      <c r="Q11" s="244">
        <f>4543225.21/1000000</f>
        <v>4.5432252100000001</v>
      </c>
      <c r="R11" s="244">
        <f>4760310.58/1000000</f>
        <v>4.7603105800000005</v>
      </c>
      <c r="S11" s="244">
        <f>694387.38/1000000</f>
        <v>0.69438738</v>
      </c>
      <c r="T11" s="244">
        <f>1160888.73/1000000</f>
        <v>1.1608887299999999</v>
      </c>
      <c r="U11" s="244">
        <f>1855276.11/1000000</f>
        <v>1.8552761100000001</v>
      </c>
      <c r="V11" s="245"/>
    </row>
    <row r="12" spans="1:24" s="44" customFormat="1" ht="25.5">
      <c r="C12" s="156" t="s">
        <v>8</v>
      </c>
      <c r="D12" s="859" t="s">
        <v>654</v>
      </c>
      <c r="E12" s="859" t="s">
        <v>654</v>
      </c>
      <c r="F12" s="859" t="s">
        <v>654</v>
      </c>
      <c r="G12" s="246">
        <f>2027500/1000000</f>
        <v>2.0274999999999999</v>
      </c>
      <c r="H12" s="859" t="s">
        <v>654</v>
      </c>
      <c r="I12" s="247">
        <f>2027500/1000000</f>
        <v>2.0274999999999999</v>
      </c>
      <c r="J12" s="859" t="s">
        <v>654</v>
      </c>
      <c r="K12" s="859" t="s">
        <v>654</v>
      </c>
      <c r="L12" s="859" t="s">
        <v>654</v>
      </c>
      <c r="M12" s="859" t="s">
        <v>654</v>
      </c>
      <c r="N12" s="859" t="s">
        <v>654</v>
      </c>
      <c r="O12" s="859" t="s">
        <v>654</v>
      </c>
      <c r="P12" s="859" t="s">
        <v>654</v>
      </c>
      <c r="Q12" s="859" t="s">
        <v>654</v>
      </c>
      <c r="R12" s="859" t="s">
        <v>654</v>
      </c>
      <c r="S12" s="859" t="s">
        <v>654</v>
      </c>
      <c r="T12" s="859" t="s">
        <v>654</v>
      </c>
      <c r="U12" s="244"/>
      <c r="V12" s="245"/>
    </row>
    <row r="13" spans="1:24" s="44" customFormat="1">
      <c r="C13" s="156" t="s">
        <v>9</v>
      </c>
      <c r="D13" s="243">
        <f>113785425.46/1000000</f>
        <v>113.78542546</v>
      </c>
      <c r="E13" s="243">
        <f>38236674.39/1000000</f>
        <v>38.236674389999997</v>
      </c>
      <c r="F13" s="243">
        <f>152022099.85/1000000</f>
        <v>152.02209984999999</v>
      </c>
      <c r="G13" s="243">
        <f>94708229.18/1000000</f>
        <v>94.708229180000004</v>
      </c>
      <c r="H13" s="243">
        <f>92477190.44/1000000</f>
        <v>92.477190440000001</v>
      </c>
      <c r="I13" s="244">
        <f>187185419.62/1000000</f>
        <v>187.18541962</v>
      </c>
      <c r="J13" s="244">
        <f>70732248.0034506/1000000</f>
        <v>70.732248003450607</v>
      </c>
      <c r="K13" s="244">
        <f>67112190.15/1000000</f>
        <v>67.112190150000004</v>
      </c>
      <c r="L13" s="244">
        <f>137844438.153451/1000000</f>
        <v>137.84443815345099</v>
      </c>
      <c r="M13" s="244">
        <f>73462996.41/1000000</f>
        <v>73.462996410000002</v>
      </c>
      <c r="N13" s="244">
        <f>51333533.73/1000000</f>
        <v>51.333533729999999</v>
      </c>
      <c r="O13" s="244">
        <f>124796530.14/1000000</f>
        <v>124.79653014</v>
      </c>
      <c r="P13" s="244">
        <f>64706202.57/1000000</f>
        <v>64.706202570000002</v>
      </c>
      <c r="Q13" s="244">
        <f>75395194.26/1000000</f>
        <v>75.395194260000011</v>
      </c>
      <c r="R13" s="244">
        <f>140101396.83/1000000</f>
        <v>140.10139683000003</v>
      </c>
      <c r="S13" s="244">
        <f>69893411.91/1000000</f>
        <v>69.893411909999998</v>
      </c>
      <c r="T13" s="244">
        <f>101199297.21/1000000</f>
        <v>101.19929721</v>
      </c>
      <c r="U13" s="244">
        <f>171092709.12/1000000</f>
        <v>171.09270911999999</v>
      </c>
      <c r="V13" s="245"/>
    </row>
    <row r="14" spans="1:24" s="44" customFormat="1">
      <c r="C14" s="156" t="s">
        <v>10</v>
      </c>
      <c r="D14" s="243">
        <f>8553779/1000000</f>
        <v>8.5537790000000005</v>
      </c>
      <c r="E14" s="243"/>
      <c r="F14" s="243">
        <f>8553779/1000000</f>
        <v>8.5537790000000005</v>
      </c>
      <c r="G14" s="243">
        <f>8705896/1000000</f>
        <v>8.7058959999999992</v>
      </c>
      <c r="H14" s="859" t="s">
        <v>654</v>
      </c>
      <c r="I14" s="244">
        <f>8705896/1000000</f>
        <v>8.7058959999999992</v>
      </c>
      <c r="J14" s="244">
        <f>8865759/1000000</f>
        <v>8.8657590000000006</v>
      </c>
      <c r="K14" s="244"/>
      <c r="L14" s="244">
        <f>8865759/1000000</f>
        <v>8.8657590000000006</v>
      </c>
      <c r="M14" s="244">
        <f>6818936.29/1000000</f>
        <v>6.8189362899999999</v>
      </c>
      <c r="N14" s="244">
        <f>133165.44/1000000</f>
        <v>0.13316544</v>
      </c>
      <c r="O14" s="244">
        <f>6952101.73/1000000</f>
        <v>6.9521017300000008</v>
      </c>
      <c r="P14" s="244">
        <f>7229573.78/1000000</f>
        <v>7.2295737799999999</v>
      </c>
      <c r="Q14" s="244">
        <f>152898.84/1000000</f>
        <v>0.15289884000000001</v>
      </c>
      <c r="R14" s="244">
        <f>7382472.62/1000000</f>
        <v>7.3824726199999997</v>
      </c>
      <c r="S14" s="244">
        <f>10180163.65/1000000</f>
        <v>10.180163650000001</v>
      </c>
      <c r="T14" s="244">
        <f>69887.43/1000000</f>
        <v>6.9887429999999987E-2</v>
      </c>
      <c r="U14" s="244">
        <f>10250051.08/1000000</f>
        <v>10.25005108</v>
      </c>
      <c r="V14" s="245"/>
      <c r="X14" s="44">
        <v>1000000</v>
      </c>
    </row>
    <row r="15" spans="1:24" s="44" customFormat="1">
      <c r="C15" s="156" t="s">
        <v>11</v>
      </c>
      <c r="D15" s="243">
        <f>54641856/1000000</f>
        <v>54.641855999999997</v>
      </c>
      <c r="E15" s="243">
        <f>34930454/1000000</f>
        <v>34.930453999999997</v>
      </c>
      <c r="F15" s="243">
        <f>89572310/1000000</f>
        <v>89.572310000000002</v>
      </c>
      <c r="G15" s="243">
        <f>56370646/1000000</f>
        <v>56.370646000000001</v>
      </c>
      <c r="H15" s="243">
        <f>9364628/1000000</f>
        <v>9.3646279999999997</v>
      </c>
      <c r="I15" s="244">
        <f>65735274/1000000</f>
        <v>65.735274000000004</v>
      </c>
      <c r="J15" s="244">
        <f>41566628/1000000</f>
        <v>41.566628000000001</v>
      </c>
      <c r="K15" s="244">
        <f>3996083/1000000</f>
        <v>3.9960830000000001</v>
      </c>
      <c r="L15" s="244">
        <f>45562711/1000000</f>
        <v>45.562711</v>
      </c>
      <c r="M15" s="244">
        <f>37809252.04/1000000</f>
        <v>37.809252039999997</v>
      </c>
      <c r="N15" s="244">
        <f>15532601.28/1000000</f>
        <v>15.53260128</v>
      </c>
      <c r="O15" s="244">
        <f>53341853.32/1000000</f>
        <v>53.341853319999998</v>
      </c>
      <c r="P15" s="244">
        <f>45094216.5188806/1000000</f>
        <v>45.0942165188806</v>
      </c>
      <c r="Q15" s="244">
        <f>43431423.15/1000000</f>
        <v>43.431423150000001</v>
      </c>
      <c r="R15" s="244">
        <f>88525639.6688806/1000000</f>
        <v>88.525639668880601</v>
      </c>
      <c r="S15" s="244">
        <f>40914232.88/1000000</f>
        <v>40.91423288</v>
      </c>
      <c r="T15" s="244">
        <f>27600506.55/1000000</f>
        <v>27.600506550000002</v>
      </c>
      <c r="U15" s="244">
        <f>68514739.43/1000000</f>
        <v>68.514739430000006</v>
      </c>
      <c r="V15" s="245"/>
    </row>
    <row r="16" spans="1:24" s="635" customFormat="1">
      <c r="A16" s="631"/>
      <c r="B16" s="631" t="s">
        <v>556</v>
      </c>
      <c r="C16" s="632"/>
      <c r="D16" s="636">
        <f>178018310.46/1000000</f>
        <v>178.01831046000001</v>
      </c>
      <c r="E16" s="636">
        <f>84172628.39/1000000</f>
        <v>84.17262839</v>
      </c>
      <c r="F16" s="636">
        <f>262190938.85/1000000</f>
        <v>262.19093885000001</v>
      </c>
      <c r="G16" s="636">
        <f>169362894.18/1000000</f>
        <v>169.36289418000001</v>
      </c>
      <c r="H16" s="636">
        <f>107924315.44/1000000</f>
        <v>107.92431544</v>
      </c>
      <c r="I16" s="640">
        <f>277287209.62/1000000</f>
        <v>277.28720962</v>
      </c>
      <c r="J16" s="640">
        <f>122403394.003451/1000000</f>
        <v>122.403394003451</v>
      </c>
      <c r="K16" s="640">
        <f>78948273.15/1000000</f>
        <v>78.948273150000006</v>
      </c>
      <c r="L16" s="640">
        <f>201351667.153451/1000000</f>
        <v>201.35166715345099</v>
      </c>
      <c r="M16" s="640">
        <f>118126888.44/1000000</f>
        <v>118.12688844</v>
      </c>
      <c r="N16" s="640">
        <f>68958485.88/1000000</f>
        <v>68.958485879999998</v>
      </c>
      <c r="O16" s="640">
        <f>187085374.32/1000000</f>
        <v>187.08537432</v>
      </c>
      <c r="P16" s="640">
        <f>117247078.238881/1000000</f>
        <v>117.247078238881</v>
      </c>
      <c r="Q16" s="640">
        <f>135224488.79/1000000</f>
        <v>135.22448878999998</v>
      </c>
      <c r="R16" s="640">
        <f>252471567.028881/1000000</f>
        <v>252.47156702888103</v>
      </c>
      <c r="S16" s="640">
        <f>121682195.82/1000000</f>
        <v>121.68219581999999</v>
      </c>
      <c r="T16" s="640">
        <f>135433821.47/1000000</f>
        <v>135.43382147</v>
      </c>
      <c r="U16" s="640">
        <f>257116017.29/1000000</f>
        <v>257.11601729</v>
      </c>
      <c r="V16" s="641"/>
    </row>
    <row r="17" spans="1:22" s="44" customFormat="1">
      <c r="A17" s="157" t="s">
        <v>212</v>
      </c>
      <c r="B17" s="157"/>
      <c r="C17" s="202"/>
      <c r="D17" s="249"/>
      <c r="E17" s="243"/>
      <c r="F17" s="243"/>
      <c r="G17" s="243"/>
      <c r="H17" s="243"/>
      <c r="I17" s="244"/>
      <c r="J17" s="244"/>
      <c r="K17" s="244"/>
      <c r="L17" s="244"/>
      <c r="M17" s="244"/>
      <c r="N17" s="244"/>
      <c r="O17" s="244"/>
      <c r="P17" s="244"/>
      <c r="Q17" s="244"/>
      <c r="R17" s="244"/>
      <c r="S17" s="244"/>
      <c r="T17" s="244"/>
      <c r="U17" s="244"/>
      <c r="V17" s="245"/>
    </row>
    <row r="18" spans="1:22" s="44" customFormat="1">
      <c r="C18" s="156" t="s">
        <v>12</v>
      </c>
      <c r="D18" s="243">
        <f>17015391/1000000</f>
        <v>17.015391000000001</v>
      </c>
      <c r="E18" s="859" t="s">
        <v>654</v>
      </c>
      <c r="F18" s="243">
        <f>17015391/1000000</f>
        <v>17.015391000000001</v>
      </c>
      <c r="G18" s="243">
        <f>16766389/1000000</f>
        <v>16.766389</v>
      </c>
      <c r="H18" s="859" t="s">
        <v>654</v>
      </c>
      <c r="I18" s="244">
        <f>16766389/1000000</f>
        <v>16.766389</v>
      </c>
      <c r="J18" s="244">
        <f>13155619/1000000</f>
        <v>13.155619</v>
      </c>
      <c r="K18" s="859" t="s">
        <v>654</v>
      </c>
      <c r="L18" s="244">
        <f>13155619/1000000</f>
        <v>13.155619</v>
      </c>
      <c r="M18" s="244">
        <f>3407990.11/1000000</f>
        <v>3.4079901100000001</v>
      </c>
      <c r="N18" s="859" t="s">
        <v>654</v>
      </c>
      <c r="O18" s="244">
        <f>3407990.11/1000000</f>
        <v>3.4079901100000001</v>
      </c>
      <c r="P18" s="244">
        <f>2881129/1000000</f>
        <v>2.8811290000000001</v>
      </c>
      <c r="Q18" s="244">
        <f>60632/1000000</f>
        <v>6.0631999999999998E-2</v>
      </c>
      <c r="R18" s="244">
        <f>2941761/1000000</f>
        <v>2.9417610000000001</v>
      </c>
      <c r="S18" s="244">
        <f>1741114.62/1000000</f>
        <v>1.7411146200000001</v>
      </c>
      <c r="T18" s="244">
        <f>44000/1000000</f>
        <v>4.3999999999999997E-2</v>
      </c>
      <c r="U18" s="244">
        <f>1785114.62/1000000</f>
        <v>1.7851146200000001</v>
      </c>
      <c r="V18" s="245"/>
    </row>
    <row r="19" spans="1:22" s="44" customFormat="1">
      <c r="C19" s="156" t="s">
        <v>13</v>
      </c>
      <c r="D19" s="243">
        <f>8281950/1000000</f>
        <v>8.2819500000000001</v>
      </c>
      <c r="E19" s="243">
        <f>264509530/1000000</f>
        <v>264.50952999999998</v>
      </c>
      <c r="F19" s="243">
        <f>272791480/1000000</f>
        <v>272.79147999999998</v>
      </c>
      <c r="G19" s="243">
        <f>7029675/1000000</f>
        <v>7.0296750000000001</v>
      </c>
      <c r="H19" s="243">
        <f>202190827/1000000</f>
        <v>202.19082700000001</v>
      </c>
      <c r="I19" s="244">
        <f>209220502/1000000</f>
        <v>209.22050200000001</v>
      </c>
      <c r="J19" s="244">
        <f>38824653/1000000</f>
        <v>38.824652999999998</v>
      </c>
      <c r="K19" s="244">
        <f>68692732/1000000</f>
        <v>68.692732000000007</v>
      </c>
      <c r="L19" s="244">
        <f>107517385/1000000</f>
        <v>107.517385</v>
      </c>
      <c r="M19" s="244">
        <f>7046464.07/1000000</f>
        <v>7.0464640699999999</v>
      </c>
      <c r="N19" s="244">
        <f>56503693.98/1000000</f>
        <v>56.503693979999994</v>
      </c>
      <c r="O19" s="244">
        <f>63550158.05/1000000</f>
        <v>63.55015805</v>
      </c>
      <c r="P19" s="244">
        <f>8710050.44/1000000</f>
        <v>8.7100504399999998</v>
      </c>
      <c r="Q19" s="244">
        <f>112819197.3/1000000</f>
        <v>112.8191973</v>
      </c>
      <c r="R19" s="244">
        <f>121529247.74/1000000</f>
        <v>121.52924773999999</v>
      </c>
      <c r="S19" s="244">
        <f>9377030.73/1000000</f>
        <v>9.3770307300000013</v>
      </c>
      <c r="T19" s="244">
        <f>47236132.14/1000000</f>
        <v>47.236132140000002</v>
      </c>
      <c r="U19" s="244">
        <f>56613162.87/1000000</f>
        <v>56.613162869999996</v>
      </c>
      <c r="V19" s="245"/>
    </row>
    <row r="20" spans="1:22" s="44" customFormat="1">
      <c r="C20" s="156" t="s">
        <v>14</v>
      </c>
      <c r="D20" s="243">
        <f>13605354.25/1000000</f>
        <v>13.60535425</v>
      </c>
      <c r="E20" s="243">
        <f>43289425.79/1000000</f>
        <v>43.289425789999996</v>
      </c>
      <c r="F20" s="243">
        <f>56894780.04/1000000</f>
        <v>56.894780040000001</v>
      </c>
      <c r="G20" s="243">
        <f>32790431/1000000</f>
        <v>32.790430999999998</v>
      </c>
      <c r="H20" s="243">
        <f>137705331.72/1000000</f>
        <v>137.70533172</v>
      </c>
      <c r="I20" s="244">
        <f>170495762.72/1000000</f>
        <v>170.49576271999999</v>
      </c>
      <c r="J20" s="244">
        <f>22759197.3099504/1000000</f>
        <v>22.759197309950402</v>
      </c>
      <c r="K20" s="244">
        <f>124074100.582873/1000000</f>
        <v>124.074100582873</v>
      </c>
      <c r="L20" s="244">
        <f>146833297.892823/1000000</f>
        <v>146.833297892823</v>
      </c>
      <c r="M20" s="244">
        <f>43236419.67/1000000</f>
        <v>43.236419670000004</v>
      </c>
      <c r="N20" s="244">
        <f>110627078.68/1000000</f>
        <v>110.62707868000001</v>
      </c>
      <c r="O20" s="244">
        <f>153863498.35/1000000</f>
        <v>153.86349834999999</v>
      </c>
      <c r="P20" s="244">
        <f>23042485.72/1000000</f>
        <v>23.042485719999998</v>
      </c>
      <c r="Q20" s="244">
        <f>132454887.41/1000000</f>
        <v>132.45488741</v>
      </c>
      <c r="R20" s="244">
        <f>155497373.13/1000000</f>
        <v>155.49737313</v>
      </c>
      <c r="S20" s="244">
        <f>29099553/1000000</f>
        <v>29.099553</v>
      </c>
      <c r="T20" s="244">
        <f>150366023.4/1000000</f>
        <v>150.36602340000002</v>
      </c>
      <c r="U20" s="244">
        <f>179465576.4/1000000</f>
        <v>179.4655764</v>
      </c>
      <c r="V20" s="245"/>
    </row>
    <row r="21" spans="1:22" s="44" customFormat="1">
      <c r="C21" s="156" t="s">
        <v>15</v>
      </c>
      <c r="D21" s="243">
        <f>7022022/1000000</f>
        <v>7.0220219999999998</v>
      </c>
      <c r="E21" s="859" t="s">
        <v>654</v>
      </c>
      <c r="F21" s="243">
        <f>7022022/1000000</f>
        <v>7.0220219999999998</v>
      </c>
      <c r="G21" s="859" t="s">
        <v>654</v>
      </c>
      <c r="H21" s="859" t="s">
        <v>654</v>
      </c>
      <c r="I21" s="859" t="s">
        <v>654</v>
      </c>
      <c r="J21" s="244">
        <f>6000000/1000000</f>
        <v>6</v>
      </c>
      <c r="K21" s="859" t="s">
        <v>654</v>
      </c>
      <c r="L21" s="244">
        <f>6000000/1000000</f>
        <v>6</v>
      </c>
      <c r="M21" s="244">
        <f>2813837/1000000</f>
        <v>2.8138369999999999</v>
      </c>
      <c r="N21" s="859" t="s">
        <v>654</v>
      </c>
      <c r="O21" s="244">
        <f>2813837/1000000</f>
        <v>2.8138369999999999</v>
      </c>
      <c r="P21" s="244">
        <f>2647031.02/1000000</f>
        <v>2.64703102</v>
      </c>
      <c r="Q21" s="859" t="s">
        <v>654</v>
      </c>
      <c r="R21" s="860" t="s">
        <v>656</v>
      </c>
      <c r="S21" s="244">
        <f>4031012.54/1000000</f>
        <v>4.0310125399999999</v>
      </c>
      <c r="T21" s="859" t="s">
        <v>654</v>
      </c>
      <c r="U21" s="244">
        <f>4031012.54/1000000</f>
        <v>4.0310125399999999</v>
      </c>
      <c r="V21" s="245"/>
    </row>
    <row r="22" spans="1:22" s="635" customFormat="1">
      <c r="A22" s="631"/>
      <c r="B22" s="631" t="s">
        <v>557</v>
      </c>
      <c r="C22" s="632"/>
      <c r="D22" s="636">
        <f>45924717.25/1000000</f>
        <v>45.92471725</v>
      </c>
      <c r="E22" s="636">
        <f>307798955.79/1000000</f>
        <v>307.79895579000004</v>
      </c>
      <c r="F22" s="636">
        <f>353723673.04/1000000</f>
        <v>353.72367303999999</v>
      </c>
      <c r="G22" s="636">
        <f>56586495/1000000</f>
        <v>56.586494999999999</v>
      </c>
      <c r="H22" s="636">
        <f>339896158.72/1000000</f>
        <v>339.89615872000002</v>
      </c>
      <c r="I22" s="640">
        <f>396482653.72/1000000</f>
        <v>396.48265372000003</v>
      </c>
      <c r="J22" s="640">
        <f>80739469.3099504/1000000</f>
        <v>80.739469309950394</v>
      </c>
      <c r="K22" s="640">
        <f>192766832.582873/1000000</f>
        <v>192.76683258287298</v>
      </c>
      <c r="L22" s="640">
        <f>273506301.892823/1000000</f>
        <v>273.50630189282299</v>
      </c>
      <c r="M22" s="640">
        <f>56504710.85/1000000</f>
        <v>56.504710850000002</v>
      </c>
      <c r="N22" s="640">
        <f>167130772.66/1000000</f>
        <v>167.13077265999999</v>
      </c>
      <c r="O22" s="640">
        <f>223635483.51/1000000</f>
        <v>223.63548351</v>
      </c>
      <c r="P22" s="640">
        <f>37280696.18/1000000</f>
        <v>37.28069618</v>
      </c>
      <c r="Q22" s="640">
        <f>245334716.71/1000000</f>
        <v>245.33471671000001</v>
      </c>
      <c r="R22" s="640">
        <f>282615412.89/1000000</f>
        <v>282.61541288999996</v>
      </c>
      <c r="S22" s="640">
        <f>44248710.89/1000000</f>
        <v>44.248710889999998</v>
      </c>
      <c r="T22" s="640">
        <f>197646155.54/1000000</f>
        <v>197.64615554</v>
      </c>
      <c r="U22" s="640">
        <f>241894866.43/1000000</f>
        <v>241.89486643000001</v>
      </c>
      <c r="V22" s="641"/>
    </row>
    <row r="23" spans="1:22" s="44" customFormat="1">
      <c r="A23" s="160" t="s">
        <v>568</v>
      </c>
      <c r="B23" s="160"/>
      <c r="C23" s="203"/>
      <c r="D23" s="250">
        <f>223943027.71/1000000</f>
        <v>223.94302771</v>
      </c>
      <c r="E23" s="250">
        <f>391971584.18/1000000</f>
        <v>391.97158417999998</v>
      </c>
      <c r="F23" s="250">
        <f>615914611.89/1000000</f>
        <v>615.91461188999995</v>
      </c>
      <c r="G23" s="250">
        <f>225949389.18/1000000</f>
        <v>225.94938918</v>
      </c>
      <c r="H23" s="250">
        <f>447820474.16/1000000</f>
        <v>447.82047416</v>
      </c>
      <c r="I23" s="251">
        <f>673769863.34/1000000</f>
        <v>673.76986334000003</v>
      </c>
      <c r="J23" s="251">
        <f>203142863.313401/1000000</f>
        <v>203.14286331340102</v>
      </c>
      <c r="K23" s="251">
        <f>271715105.732873/1000000</f>
        <v>271.71510573287304</v>
      </c>
      <c r="L23" s="251">
        <f>474857969.046274/1000000</f>
        <v>474.85796904627398</v>
      </c>
      <c r="M23" s="251">
        <f>174631599.29/1000000</f>
        <v>174.63159929</v>
      </c>
      <c r="N23" s="251">
        <f>236089258.54/1000000</f>
        <v>236.08925854</v>
      </c>
      <c r="O23" s="251">
        <f>410720857.83/1000000</f>
        <v>410.72085783</v>
      </c>
      <c r="P23" s="251">
        <f>154527774.418881/1000000</f>
        <v>154.52777441888099</v>
      </c>
      <c r="Q23" s="251">
        <f>380559205.5/1000000</f>
        <v>380.55920550000002</v>
      </c>
      <c r="R23" s="251">
        <f>535086979.918881/1000000</f>
        <v>535.08697991888096</v>
      </c>
      <c r="S23" s="251">
        <f>165930906.71/1000000</f>
        <v>165.93090671000002</v>
      </c>
      <c r="T23" s="251">
        <f>333079977.01/1000000</f>
        <v>333.07997700999999</v>
      </c>
      <c r="U23" s="251">
        <f>499010883.72/1000000</f>
        <v>499.01088372000004</v>
      </c>
      <c r="V23" s="245"/>
    </row>
    <row r="24" spans="1:22" s="44" customFormat="1">
      <c r="A24" s="270" t="s">
        <v>210</v>
      </c>
    </row>
    <row r="25" spans="1:22">
      <c r="A25" s="270" t="s">
        <v>214</v>
      </c>
    </row>
    <row r="27" spans="1:22">
      <c r="A27" s="40" t="s">
        <v>170</v>
      </c>
    </row>
    <row r="31" spans="1:22">
      <c r="C31" s="529" t="s">
        <v>656</v>
      </c>
    </row>
  </sheetData>
  <mergeCells count="1">
    <mergeCell ref="A7:C8"/>
  </mergeCells>
  <pageMargins left="0.7" right="0.7" top="0.75" bottom="0.75" header="0.3" footer="0.3"/>
  <pageSetup scale="7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54</vt:i4>
      </vt:variant>
      <vt:variant>
        <vt:lpstr>Rangos con nombre</vt:lpstr>
      </vt:variant>
      <vt:variant>
        <vt:i4>56</vt:i4>
      </vt:variant>
    </vt:vector>
  </HeadingPairs>
  <TitlesOfParts>
    <vt:vector size="110" baseType="lpstr">
      <vt:lpstr>Caratula 1</vt:lpstr>
      <vt:lpstr>Caratula 2</vt:lpstr>
      <vt:lpstr>Indice</vt:lpstr>
      <vt:lpstr>1.1</vt:lpstr>
      <vt:lpstr>1.2</vt:lpstr>
      <vt:lpstr>1.3</vt:lpstr>
      <vt:lpstr>1.4</vt:lpstr>
      <vt:lpstr>2.1</vt:lpstr>
      <vt:lpstr>2.2</vt:lpstr>
      <vt:lpstr>2.3</vt:lpstr>
      <vt:lpstr>2.4</vt:lpstr>
      <vt:lpstr>2.5</vt:lpstr>
      <vt:lpstr>2.6</vt:lpstr>
      <vt:lpstr>2.7</vt:lpstr>
      <vt:lpstr>2.8</vt:lpstr>
      <vt:lpstr>2.9</vt:lpstr>
      <vt:lpstr>3.1</vt:lpstr>
      <vt:lpstr>3.2</vt:lpstr>
      <vt:lpstr>4.1</vt:lpstr>
      <vt:lpstr>4.2</vt:lpstr>
      <vt:lpstr>4.3</vt:lpstr>
      <vt:lpstr>4.4</vt:lpstr>
      <vt:lpstr>4.5</vt:lpstr>
      <vt:lpstr>4.6</vt:lpstr>
      <vt:lpstr>4.7</vt:lpstr>
      <vt:lpstr>4.8</vt:lpstr>
      <vt:lpstr>4.9</vt:lpstr>
      <vt:lpstr>4.10</vt:lpstr>
      <vt:lpstr>4.11</vt:lpstr>
      <vt:lpstr>4.12</vt:lpstr>
      <vt:lpstr>4.13</vt:lpstr>
      <vt:lpstr>4.14</vt:lpstr>
      <vt:lpstr>4.15</vt:lpstr>
      <vt:lpstr>4.16</vt:lpstr>
      <vt:lpstr>4.17</vt:lpstr>
      <vt:lpstr>4.18</vt:lpstr>
      <vt:lpstr>4.19</vt:lpstr>
      <vt:lpstr>4.20</vt:lpstr>
      <vt:lpstr>4.21</vt:lpstr>
      <vt:lpstr>4.22</vt:lpstr>
      <vt:lpstr>4.23</vt:lpstr>
      <vt:lpstr>4.24</vt:lpstr>
      <vt:lpstr>4.25</vt:lpstr>
      <vt:lpstr>4.26</vt:lpstr>
      <vt:lpstr>5.1</vt:lpstr>
      <vt:lpstr>5.2</vt:lpstr>
      <vt:lpstr>5.3</vt:lpstr>
      <vt:lpstr>6.1</vt:lpstr>
      <vt:lpstr>6.2</vt:lpstr>
      <vt:lpstr>6.3</vt:lpstr>
      <vt:lpstr>6.4</vt:lpstr>
      <vt:lpstr>6.5</vt:lpstr>
      <vt:lpstr>7.1</vt:lpstr>
      <vt:lpstr>7.2</vt:lpstr>
      <vt:lpstr>'1.1'!Área_de_impresión</vt:lpstr>
      <vt:lpstr>'1.2'!Área_de_impresión</vt:lpstr>
      <vt:lpstr>'1.3'!Área_de_impresión</vt:lpstr>
      <vt:lpstr>'1.4'!Área_de_impresión</vt:lpstr>
      <vt:lpstr>'2.1'!Área_de_impresión</vt:lpstr>
      <vt:lpstr>'2.2'!Área_de_impresión</vt:lpstr>
      <vt:lpstr>'2.3'!Área_de_impresión</vt:lpstr>
      <vt:lpstr>'2.4'!Área_de_impresión</vt:lpstr>
      <vt:lpstr>'2.5'!Área_de_impresión</vt:lpstr>
      <vt:lpstr>'2.6'!Área_de_impresión</vt:lpstr>
      <vt:lpstr>'2.7'!Área_de_impresión</vt:lpstr>
      <vt:lpstr>'2.8'!Área_de_impresión</vt:lpstr>
      <vt:lpstr>'2.9'!Área_de_impresión</vt:lpstr>
      <vt:lpstr>'3.1'!Área_de_impresión</vt:lpstr>
      <vt:lpstr>'3.2'!Área_de_impresión</vt:lpstr>
      <vt:lpstr>'4.1'!Área_de_impresión</vt:lpstr>
      <vt:lpstr>'4.10'!Área_de_impresión</vt:lpstr>
      <vt:lpstr>'4.11'!Área_de_impresión</vt:lpstr>
      <vt:lpstr>'4.12'!Área_de_impresión</vt:lpstr>
      <vt:lpstr>'4.13'!Área_de_impresión</vt:lpstr>
      <vt:lpstr>'4.14'!Área_de_impresión</vt:lpstr>
      <vt:lpstr>'4.15'!Área_de_impresión</vt:lpstr>
      <vt:lpstr>'4.16'!Área_de_impresión</vt:lpstr>
      <vt:lpstr>'4.17'!Área_de_impresión</vt:lpstr>
      <vt:lpstr>'4.18'!Área_de_impresión</vt:lpstr>
      <vt:lpstr>'4.19'!Área_de_impresión</vt:lpstr>
      <vt:lpstr>'4.2'!Área_de_impresión</vt:lpstr>
      <vt:lpstr>'4.21'!Área_de_impresión</vt:lpstr>
      <vt:lpstr>'4.22'!Área_de_impresión</vt:lpstr>
      <vt:lpstr>'4.23'!Área_de_impresión</vt:lpstr>
      <vt:lpstr>'4.24'!Área_de_impresión</vt:lpstr>
      <vt:lpstr>'4.25'!Área_de_impresión</vt:lpstr>
      <vt:lpstr>'4.26'!Área_de_impresión</vt:lpstr>
      <vt:lpstr>'4.3'!Área_de_impresión</vt:lpstr>
      <vt:lpstr>'4.4'!Área_de_impresión</vt:lpstr>
      <vt:lpstr>'4.5'!Área_de_impresión</vt:lpstr>
      <vt:lpstr>'4.6'!Área_de_impresión</vt:lpstr>
      <vt:lpstr>'4.7'!Área_de_impresión</vt:lpstr>
      <vt:lpstr>'4.8'!Área_de_impresión</vt:lpstr>
      <vt:lpstr>'4.9'!Área_de_impresión</vt:lpstr>
      <vt:lpstr>'5.1'!Área_de_impresión</vt:lpstr>
      <vt:lpstr>'5.2'!Área_de_impresión</vt:lpstr>
      <vt:lpstr>'5.3'!Área_de_impresión</vt:lpstr>
      <vt:lpstr>'6.1'!Área_de_impresión</vt:lpstr>
      <vt:lpstr>'6.2'!Área_de_impresión</vt:lpstr>
      <vt:lpstr>'6.3'!Área_de_impresión</vt:lpstr>
      <vt:lpstr>'6.4'!Área_de_impresión</vt:lpstr>
      <vt:lpstr>'6.5'!Área_de_impresión</vt:lpstr>
      <vt:lpstr>'7.1'!Área_de_impresión</vt:lpstr>
      <vt:lpstr>'7.2'!Área_de_impresión</vt:lpstr>
      <vt:lpstr>'Caratula 1'!Área_de_impresión</vt:lpstr>
      <vt:lpstr>'Caratula 2'!Área_de_impresión</vt:lpstr>
      <vt:lpstr>Indice!Área_de_impresión</vt:lpstr>
      <vt:lpstr>Indice!Cuadro_1.1_Gasto_ambiental_de_gobiernos_locales__municipales__por_clasificaciones_CAPA_y_CGRN</vt:lpstr>
      <vt:lpstr>Cuadro_1.1_Gasto_ambiental_de_gobiernos_locales__municipales__por_clasificaciones_CAPA_y_CGRN</vt:lpstr>
      <vt:lpstr>Cuadro_4.4_Gasto_ambiental_per_cápita_gobierno_general_2001_2006</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x_aamm</dc:creator>
  <cp:lastModifiedBy>cicleaves</cp:lastModifiedBy>
  <cp:lastPrinted>2009-05-06T19:03:48Z</cp:lastPrinted>
  <dcterms:created xsi:type="dcterms:W3CDTF">2008-11-05T17:37:50Z</dcterms:created>
  <dcterms:modified xsi:type="dcterms:W3CDTF">2011-06-08T18:44:32Z</dcterms:modified>
</cp:coreProperties>
</file>